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2.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3.xml" ContentType="application/vnd.openxmlformats-officedocument.drawing+xml"/>
  <Override PartName="/xl/tables/table1.xml" ContentType="application/vnd.openxmlformats-officedocument.spreadsheetml.table+xml"/>
  <Override PartName="/xl/slicers/slicer1.xml" ContentType="application/vnd.ms-excel.slicer+xml"/>
  <Override PartName="/xl/drawings/drawing14.xml" ContentType="application/vnd.openxmlformats-officedocument.drawing+xml"/>
  <Override PartName="/xl/tables/table2.xml" ContentType="application/vnd.openxmlformats-officedocument.spreadsheetml.table+xml"/>
  <Override PartName="/xl/slicers/slicer2.xml" ContentType="application/vnd.ms-excel.slicer+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omments3.xml" ContentType="application/vnd.openxmlformats-officedocument.spreadsheetml.comments+xml"/>
  <Override PartName="/xl/comments4.xml" ContentType="application/vnd.openxmlformats-officedocument.spreadsheetml.comments+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comments5.xml" ContentType="application/vnd.openxmlformats-officedocument.spreadsheetml.comments+xml"/>
  <Override PartName="/xl/drawings/drawing28.xml" ContentType="application/vnd.openxmlformats-officedocument.drawing+xml"/>
  <Override PartName="/xl/comments6.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codeName="ThisWorkbook" hidePivotFieldList="1"/>
  <mc:AlternateContent xmlns:mc="http://schemas.openxmlformats.org/markup-compatibility/2006">
    <mc:Choice Requires="x15">
      <x15ac:absPath xmlns:x15ac="http://schemas.microsoft.com/office/spreadsheetml/2010/11/ac" url="G:\Shared drives\Data Analytics and Insights\Health Care Emissions Impact Calculator\2.1.1 Update June 2026\"/>
    </mc:Choice>
  </mc:AlternateContent>
  <xr:revisionPtr revIDLastSave="0" documentId="13_ncr:1_{93357B0D-FD1F-49EB-85B7-ACE675AE3A28}" xr6:coauthVersionLast="47" xr6:coauthVersionMax="47" xr10:uidLastSave="{00000000-0000-0000-0000-000000000000}"/>
  <bookViews>
    <workbookView xWindow="-28920" yWindow="-120" windowWidth="29040" windowHeight="15720" tabRatio="778" firstSheet="2" activeTab="2" xr2:uid="{00000000-000D-0000-FFFF-FFFF00000000}"/>
  </bookViews>
  <sheets>
    <sheet name="Mapping" sheetId="67" state="hidden" r:id="rId1"/>
    <sheet name="Scope 1 and 2 changelog" sheetId="99" r:id="rId2"/>
    <sheet name="Instructions" sheetId="100" r:id="rId3"/>
    <sheet name="EEA Data Upload" sheetId="110" state="hidden" r:id="rId4"/>
    <sheet name="Facility or System Data" sheetId="101" r:id="rId5"/>
    <sheet name="Scope 1 and 2 Data" sheetId="102" r:id="rId6"/>
    <sheet name="S1&amp;2 Lists" sheetId="103" state="hidden" r:id="rId7"/>
    <sheet name="Refrigerants" sheetId="105" r:id="rId8"/>
    <sheet name="Anesthetic Gases" sheetId="107" r:id="rId9"/>
    <sheet name="Results &amp; Summary" sheetId="104" r:id="rId10"/>
    <sheet name="S1&amp;2 References" sheetId="106" r:id="rId11"/>
    <sheet name="Data sources" sheetId="108" r:id="rId12"/>
    <sheet name="Reporting Year &amp; Inflation Adj." sheetId="74" r:id="rId13"/>
    <sheet name="Scope 3 changelog" sheetId="72" r:id="rId14"/>
    <sheet name="Introduction" sheetId="73" r:id="rId15"/>
    <sheet name="Scope 3 Summary" sheetId="75" r:id="rId16"/>
    <sheet name="Cat 1 (Goods &amp; Services)" sheetId="70" r:id="rId17"/>
    <sheet name="Cat 2 (Capital Goods)" sheetId="111" r:id="rId18"/>
    <sheet name="using slicers" sheetId="78" r:id="rId19"/>
    <sheet name="Category 1 and 2 (custom input)" sheetId="76" r:id="rId20"/>
    <sheet name="Custom Emissions Inputs - other" sheetId="77" r:id="rId21"/>
    <sheet name="Cat 3 Fuel &amp; Energy" sheetId="79" r:id="rId22"/>
    <sheet name="Cat 4 Upstream Trans &amp; Dist" sheetId="80" r:id="rId23"/>
    <sheet name="Cat 5 Waste" sheetId="81" r:id="rId24"/>
    <sheet name="Cat 6 Business Trav. (spend)" sheetId="82" r:id="rId25"/>
    <sheet name="Cat 6 Business Trav. (distance)" sheetId="83" r:id="rId26"/>
    <sheet name="Cat 7 Employee Commuting" sheetId="84" r:id="rId27"/>
    <sheet name="Cat 8 &amp; Cat 13 Leased Assets" sheetId="85" r:id="rId28"/>
    <sheet name="Cat 9 (Patient Visits)" sheetId="86" r:id="rId29"/>
    <sheet name="Cat 11 Use of Sold Products" sheetId="92" r:id="rId30"/>
    <sheet name="Cat 15 Investments" sheetId="94" r:id="rId31"/>
    <sheet name="Cat 15 descriptions" sheetId="95" r:id="rId32"/>
    <sheet name="References" sheetId="96" r:id="rId33"/>
    <sheet name="EF" sheetId="69" state="hidden" r:id="rId34"/>
    <sheet name="Commute Calcs" sheetId="87" state="hidden" r:id="rId35"/>
    <sheet name="State eGrid factors" sheetId="88" state="hidden" r:id="rId36"/>
    <sheet name="CBECS IFs" sheetId="91" state="hidden" r:id="rId37"/>
    <sheet name="DESNZ Cat 6-9" sheetId="112" state="hidden" r:id="rId38"/>
    <sheet name="Conversions" sheetId="97" state="hidden" r:id="rId39"/>
    <sheet name="Fuel properties" sheetId="115" state="hidden" r:id="rId40"/>
    <sheet name="DESNZ fuels &amp; biofuels" sheetId="117" state="hidden" r:id="rId41"/>
    <sheet name="GWPs" sheetId="89" state="hidden" r:id="rId42"/>
    <sheet name="IndustryFactors_v1.4" sheetId="93" state="hidden" r:id="rId43"/>
  </sheets>
  <definedNames>
    <definedName name="_xlnm._FilterDatabase" localSheetId="31" hidden="1">'Cat 15 descriptions'!$D$3:$E$3</definedName>
    <definedName name="_xlnm._FilterDatabase" localSheetId="34" hidden="1">'Commute Calcs'!$B$6:$AA$19</definedName>
    <definedName name="_xlnm._FilterDatabase" localSheetId="20" hidden="1">'Custom Emissions Inputs - other'!$C$145:$C$154</definedName>
    <definedName name="_xlnm._FilterDatabase" localSheetId="37" hidden="1">'DESNZ Cat 6-9'!$B$87:$M$111</definedName>
    <definedName name="_xlnm._FilterDatabase" localSheetId="3" hidden="1">'EEA Data Upload'!$B$43:$G$114</definedName>
    <definedName name="_xlnm._FilterDatabase" localSheetId="33" hidden="1">EF!$V$4:$W$42</definedName>
    <definedName name="_xlnm._FilterDatabase" localSheetId="42" hidden="1">IndustryFactors_v1.4!$A$1:$E$186</definedName>
    <definedName name="_xlnm._FilterDatabase" localSheetId="6" hidden="1">'S1&amp;2 Lists'!$C$2:$G$128</definedName>
    <definedName name="_xlnm._FilterDatabase" localSheetId="10" hidden="1">'S1&amp;2 References'!$A$3:$F$3</definedName>
    <definedName name="_xlnm._FilterDatabase" localSheetId="1" hidden="1">'Scope 1 and 2 changelog'!$A$3:$F$3</definedName>
    <definedName name="_Regression_Int" hidden="1">1</definedName>
    <definedName name="BusinessTravel_Commodity_Detail" localSheetId="20">#REF!</definedName>
    <definedName name="Commodity_detail" localSheetId="20">#REF!</definedName>
    <definedName name="ModelName">#N/A</definedName>
    <definedName name="_xlnm.Print_Area" localSheetId="7">Refrigerants!$A$2:$Q$654</definedName>
    <definedName name="_xlnm.Print_Area" localSheetId="9">'Results &amp; Summary'!$A$1:$F$128</definedName>
    <definedName name="_xlnm.Print_Area" localSheetId="5">'Scope 1 and 2 Data'!$A$1:$L$268</definedName>
    <definedName name="Quality_flag">#N/A</definedName>
    <definedName name="Risk_flag">#N/A</definedName>
    <definedName name="Slicer_Category">#N/A</definedName>
    <definedName name="Slicer_Category1">#N/A</definedName>
    <definedName name="Slicer_Sub_category">#N/A</definedName>
    <definedName name="Slicer_Sub_category2">#N/A</definedName>
    <definedName name="Status_Checking">#N/A</definedName>
    <definedName name="Status_Overall">#N/A</definedName>
    <definedName name="Status_Update">#N/A</definedName>
    <definedName name="Team">#N/A</definedName>
    <definedName name="UpdateYear">#N/A</definedName>
    <definedName name="YesNo">#N/A</definedName>
  </definedNames>
  <calcPr calcId="191029"/>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44"/>
        <x14:slicerCache r:id="rId45"/>
        <x14:slicerCache r:id="rId46"/>
        <x14:slicerCache r:id="rId47"/>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35" i="107" l="1"/>
  <c r="E63" i="104"/>
  <c r="E60" i="104"/>
  <c r="E58" i="104"/>
  <c r="E55" i="104"/>
  <c r="F34" i="107"/>
  <c r="B228" i="102"/>
  <c r="C228" i="102" s="1"/>
  <c r="L35" i="107" s="1"/>
  <c r="B229" i="102"/>
  <c r="C229" i="102" s="1"/>
  <c r="L22" i="104"/>
  <c r="L23" i="104"/>
  <c r="L24" i="104"/>
  <c r="L14" i="104"/>
  <c r="L15" i="104"/>
  <c r="L16" i="104"/>
  <c r="L17" i="104"/>
  <c r="L18" i="104"/>
  <c r="L19" i="104"/>
  <c r="L20" i="104"/>
  <c r="L21" i="104"/>
  <c r="L13" i="104"/>
  <c r="H35" i="104"/>
  <c r="I34" i="102"/>
  <c r="A10" i="107" l="1"/>
  <c r="F10" i="107" s="1"/>
  <c r="A30" i="107"/>
  <c r="F30" i="107" s="1"/>
  <c r="L31" i="107" s="1"/>
  <c r="B79" i="102"/>
  <c r="C79" i="102" s="1"/>
  <c r="B80" i="102"/>
  <c r="C80" i="102" s="1"/>
  <c r="B183" i="102"/>
  <c r="C183" i="102" s="1"/>
  <c r="B184" i="102"/>
  <c r="C184" i="102" s="1"/>
  <c r="B185" i="102"/>
  <c r="C185" i="102" s="1"/>
  <c r="B186" i="102"/>
  <c r="C186" i="102" s="1"/>
  <c r="D186" i="102"/>
  <c r="B187" i="102"/>
  <c r="D187" i="102" s="1"/>
  <c r="B188" i="102"/>
  <c r="D188" i="102" s="1"/>
  <c r="B189" i="102"/>
  <c r="D189" i="102" s="1"/>
  <c r="B190" i="102"/>
  <c r="C190" i="102" s="1"/>
  <c r="B191" i="102"/>
  <c r="C191" i="102" s="1"/>
  <c r="B192" i="102"/>
  <c r="C192" i="102" s="1"/>
  <c r="B193" i="102"/>
  <c r="C193" i="102" s="1"/>
  <c r="B194" i="102"/>
  <c r="C194" i="102" s="1"/>
  <c r="B195" i="102"/>
  <c r="C195" i="102" s="1"/>
  <c r="B196" i="102"/>
  <c r="C196" i="102" s="1"/>
  <c r="B197" i="102"/>
  <c r="C197" i="102" s="1"/>
  <c r="B198" i="102"/>
  <c r="C198" i="102" s="1"/>
  <c r="B199" i="102"/>
  <c r="C199" i="102" s="1"/>
  <c r="D199" i="102"/>
  <c r="B200" i="102"/>
  <c r="C200" i="102" s="1"/>
  <c r="D200" i="102"/>
  <c r="B176" i="102"/>
  <c r="C176" i="102" s="1"/>
  <c r="B177" i="102"/>
  <c r="C177" i="102" s="1"/>
  <c r="B178" i="102"/>
  <c r="C178" i="102" s="1"/>
  <c r="B179" i="102"/>
  <c r="D179" i="102" s="1"/>
  <c r="B180" i="102"/>
  <c r="C180" i="102" s="1"/>
  <c r="B181" i="102"/>
  <c r="C181" i="102" s="1"/>
  <c r="B182" i="102"/>
  <c r="C182" i="102" s="1"/>
  <c r="C208" i="102"/>
  <c r="M12" i="105"/>
  <c r="M13" i="105"/>
  <c r="M14" i="105"/>
  <c r="M15" i="105"/>
  <c r="M16" i="105"/>
  <c r="M17" i="105"/>
  <c r="M18" i="105"/>
  <c r="M19" i="105"/>
  <c r="M20" i="105"/>
  <c r="M21" i="105"/>
  <c r="M22" i="105"/>
  <c r="M23" i="105"/>
  <c r="M24" i="105"/>
  <c r="M25" i="105"/>
  <c r="M26" i="105"/>
  <c r="M27" i="105"/>
  <c r="M28" i="105"/>
  <c r="M29" i="105"/>
  <c r="M30" i="105"/>
  <c r="M31" i="105"/>
  <c r="M32" i="105"/>
  <c r="M33" i="105"/>
  <c r="M34" i="105"/>
  <c r="M35" i="105"/>
  <c r="M36" i="105"/>
  <c r="M37" i="105"/>
  <c r="M38" i="105"/>
  <c r="M39" i="105"/>
  <c r="M40" i="105"/>
  <c r="M41" i="105"/>
  <c r="M42" i="105"/>
  <c r="M43" i="105"/>
  <c r="M44" i="105"/>
  <c r="M45" i="105"/>
  <c r="M46" i="105"/>
  <c r="M47" i="105"/>
  <c r="M48" i="105"/>
  <c r="M49" i="105"/>
  <c r="M50" i="105"/>
  <c r="M51" i="105"/>
  <c r="M52" i="105"/>
  <c r="M53" i="105"/>
  <c r="M54" i="105"/>
  <c r="M55" i="105"/>
  <c r="M56" i="105"/>
  <c r="M57" i="105"/>
  <c r="M58" i="105"/>
  <c r="M59" i="105"/>
  <c r="M60" i="105"/>
  <c r="M61" i="105"/>
  <c r="M62" i="105"/>
  <c r="M63" i="105"/>
  <c r="M64" i="105"/>
  <c r="M65" i="105"/>
  <c r="M66" i="105"/>
  <c r="M67" i="105"/>
  <c r="M68" i="105"/>
  <c r="M69" i="105"/>
  <c r="M70" i="105"/>
  <c r="M71" i="105"/>
  <c r="M72" i="105"/>
  <c r="M73" i="105"/>
  <c r="M74" i="105"/>
  <c r="M75" i="105"/>
  <c r="M76" i="105"/>
  <c r="M77" i="105"/>
  <c r="M78" i="105"/>
  <c r="M79" i="105"/>
  <c r="M80" i="105"/>
  <c r="M81" i="105"/>
  <c r="M82" i="105"/>
  <c r="M83" i="105"/>
  <c r="M84" i="105"/>
  <c r="M85" i="105"/>
  <c r="M86" i="105"/>
  <c r="M87" i="105"/>
  <c r="M88" i="105"/>
  <c r="M89" i="105"/>
  <c r="M90" i="105"/>
  <c r="M91" i="105"/>
  <c r="M92" i="105"/>
  <c r="M93" i="105"/>
  <c r="M94" i="105"/>
  <c r="M95" i="105"/>
  <c r="M96" i="105"/>
  <c r="M97" i="105"/>
  <c r="M98" i="105"/>
  <c r="M99" i="105"/>
  <c r="M100" i="105"/>
  <c r="M101" i="105"/>
  <c r="M102" i="105"/>
  <c r="M103" i="105"/>
  <c r="M104" i="105"/>
  <c r="M105" i="105"/>
  <c r="M106" i="105"/>
  <c r="M107" i="105"/>
  <c r="M108" i="105"/>
  <c r="M109" i="105"/>
  <c r="M110" i="105"/>
  <c r="M111" i="105"/>
  <c r="M112" i="105"/>
  <c r="M113" i="105"/>
  <c r="M114" i="105"/>
  <c r="M115" i="105"/>
  <c r="M116" i="105"/>
  <c r="M117" i="105"/>
  <c r="M118" i="105"/>
  <c r="M119" i="105"/>
  <c r="M120" i="105"/>
  <c r="M121" i="105"/>
  <c r="M122" i="105"/>
  <c r="M123" i="105"/>
  <c r="M124" i="105"/>
  <c r="M125" i="105"/>
  <c r="M126" i="105"/>
  <c r="M127" i="105"/>
  <c r="M128" i="105"/>
  <c r="M129" i="105"/>
  <c r="M130" i="105"/>
  <c r="M131" i="105"/>
  <c r="M132" i="105"/>
  <c r="M133" i="105"/>
  <c r="M134" i="105"/>
  <c r="M135" i="105"/>
  <c r="M136" i="105"/>
  <c r="M137" i="105"/>
  <c r="M138" i="105"/>
  <c r="M139" i="105"/>
  <c r="M140" i="105"/>
  <c r="M141" i="105"/>
  <c r="M142" i="105"/>
  <c r="M143" i="105"/>
  <c r="M144" i="105"/>
  <c r="M145" i="105"/>
  <c r="M146" i="105"/>
  <c r="M147" i="105"/>
  <c r="M148" i="105"/>
  <c r="M149" i="105"/>
  <c r="M150" i="105"/>
  <c r="M151" i="105"/>
  <c r="M152" i="105"/>
  <c r="M153" i="105"/>
  <c r="M154" i="105"/>
  <c r="M155" i="105"/>
  <c r="M156" i="105"/>
  <c r="M157" i="105"/>
  <c r="M158" i="105"/>
  <c r="M159" i="105"/>
  <c r="M160" i="105"/>
  <c r="M161" i="105"/>
  <c r="M162" i="105"/>
  <c r="M163" i="105"/>
  <c r="M164" i="105"/>
  <c r="M165" i="105"/>
  <c r="M166" i="105"/>
  <c r="M167" i="105"/>
  <c r="M168" i="105"/>
  <c r="M169" i="105"/>
  <c r="M170" i="105"/>
  <c r="M171" i="105"/>
  <c r="M172" i="105"/>
  <c r="M173" i="105"/>
  <c r="M174" i="105"/>
  <c r="M175" i="105"/>
  <c r="M176" i="105"/>
  <c r="M177" i="105"/>
  <c r="M178" i="105"/>
  <c r="M179" i="105"/>
  <c r="M180" i="105"/>
  <c r="M181" i="105"/>
  <c r="M182" i="105"/>
  <c r="M183" i="105"/>
  <c r="M184" i="105"/>
  <c r="M185" i="105"/>
  <c r="M186" i="105"/>
  <c r="M187" i="105"/>
  <c r="M188" i="105"/>
  <c r="M189" i="105"/>
  <c r="M190" i="105"/>
  <c r="M191" i="105"/>
  <c r="M192" i="105"/>
  <c r="M193" i="105"/>
  <c r="M194" i="105"/>
  <c r="M195" i="105"/>
  <c r="M196" i="105"/>
  <c r="M197" i="105"/>
  <c r="M198" i="105"/>
  <c r="M199" i="105"/>
  <c r="M200" i="105"/>
  <c r="M201" i="105"/>
  <c r="M202" i="105"/>
  <c r="M203" i="105"/>
  <c r="M204" i="105"/>
  <c r="M205" i="105"/>
  <c r="M206" i="105"/>
  <c r="M207" i="105"/>
  <c r="M208" i="105"/>
  <c r="M209" i="105"/>
  <c r="M210" i="105"/>
  <c r="M211" i="105"/>
  <c r="M212" i="105"/>
  <c r="M213" i="105"/>
  <c r="M214" i="105"/>
  <c r="M215" i="105"/>
  <c r="M216" i="105"/>
  <c r="M217" i="105"/>
  <c r="M218" i="105"/>
  <c r="M219" i="105"/>
  <c r="M220" i="105"/>
  <c r="M221" i="105"/>
  <c r="M222" i="105"/>
  <c r="M223" i="105"/>
  <c r="M224" i="105"/>
  <c r="M225" i="105"/>
  <c r="M226" i="105"/>
  <c r="M227" i="105"/>
  <c r="M228" i="105"/>
  <c r="M229" i="105"/>
  <c r="M230" i="105"/>
  <c r="M231" i="105"/>
  <c r="M232" i="105"/>
  <c r="M233" i="105"/>
  <c r="M234" i="105"/>
  <c r="M235" i="105"/>
  <c r="M236" i="105"/>
  <c r="M237" i="105"/>
  <c r="M238" i="105"/>
  <c r="M239" i="105"/>
  <c r="M240" i="105"/>
  <c r="M241" i="105"/>
  <c r="M242" i="105"/>
  <c r="M243" i="105"/>
  <c r="M244" i="105"/>
  <c r="M245" i="105"/>
  <c r="M246" i="105"/>
  <c r="M247" i="105"/>
  <c r="M248" i="105"/>
  <c r="M249" i="105"/>
  <c r="M250" i="105"/>
  <c r="M251" i="105"/>
  <c r="M252" i="105"/>
  <c r="M253" i="105"/>
  <c r="M254" i="105"/>
  <c r="M255" i="105"/>
  <c r="M256" i="105"/>
  <c r="M257" i="105"/>
  <c r="M258" i="105"/>
  <c r="M259" i="105"/>
  <c r="M260" i="105"/>
  <c r="M261" i="105"/>
  <c r="M262" i="105"/>
  <c r="M263" i="105"/>
  <c r="M264" i="105"/>
  <c r="M265" i="105"/>
  <c r="M266" i="105"/>
  <c r="M267" i="105"/>
  <c r="M268" i="105"/>
  <c r="M269" i="105"/>
  <c r="M270" i="105"/>
  <c r="M271" i="105"/>
  <c r="M272" i="105"/>
  <c r="M273" i="105"/>
  <c r="M274" i="105"/>
  <c r="M275" i="105"/>
  <c r="M276" i="105"/>
  <c r="M277" i="105"/>
  <c r="M278" i="105"/>
  <c r="M279" i="105"/>
  <c r="M280" i="105"/>
  <c r="M281" i="105"/>
  <c r="M282" i="105"/>
  <c r="M283" i="105"/>
  <c r="M284" i="105"/>
  <c r="M285" i="105"/>
  <c r="M286" i="105"/>
  <c r="M287" i="105"/>
  <c r="M288" i="105"/>
  <c r="M289" i="105"/>
  <c r="M290" i="105"/>
  <c r="M291" i="105"/>
  <c r="M292" i="105"/>
  <c r="M293" i="105"/>
  <c r="M294" i="105"/>
  <c r="M295" i="105"/>
  <c r="M296" i="105"/>
  <c r="M297" i="105"/>
  <c r="M298" i="105"/>
  <c r="M299" i="105"/>
  <c r="M300" i="105"/>
  <c r="M301" i="105"/>
  <c r="M302" i="105"/>
  <c r="M303" i="105"/>
  <c r="M304" i="105"/>
  <c r="M305" i="105"/>
  <c r="M306" i="105"/>
  <c r="M307" i="105"/>
  <c r="M308" i="105"/>
  <c r="M309" i="105"/>
  <c r="M310" i="105"/>
  <c r="M311" i="105"/>
  <c r="M312" i="105"/>
  <c r="M313" i="105"/>
  <c r="M314" i="105"/>
  <c r="M315" i="105"/>
  <c r="M316" i="105"/>
  <c r="M317" i="105"/>
  <c r="M318" i="105"/>
  <c r="M319" i="105"/>
  <c r="M320" i="105"/>
  <c r="M321" i="105"/>
  <c r="M322" i="105"/>
  <c r="M323" i="105"/>
  <c r="M324" i="105"/>
  <c r="M325" i="105"/>
  <c r="M326" i="105"/>
  <c r="M327" i="105"/>
  <c r="M328" i="105"/>
  <c r="M329" i="105"/>
  <c r="M330" i="105"/>
  <c r="M331" i="105"/>
  <c r="M332" i="105"/>
  <c r="M333" i="105"/>
  <c r="M334" i="105"/>
  <c r="M335" i="105"/>
  <c r="M336" i="105"/>
  <c r="M337" i="105"/>
  <c r="M338" i="105"/>
  <c r="M339" i="105"/>
  <c r="M340" i="105"/>
  <c r="M341" i="105"/>
  <c r="M342" i="105"/>
  <c r="M343" i="105"/>
  <c r="M344" i="105"/>
  <c r="M345" i="105"/>
  <c r="M346" i="105"/>
  <c r="M347" i="105"/>
  <c r="M348" i="105"/>
  <c r="M349" i="105"/>
  <c r="M350" i="105"/>
  <c r="M351" i="105"/>
  <c r="M352" i="105"/>
  <c r="M353" i="105"/>
  <c r="M354" i="105"/>
  <c r="M355" i="105"/>
  <c r="M356" i="105"/>
  <c r="M357" i="105"/>
  <c r="M358" i="105"/>
  <c r="M359" i="105"/>
  <c r="M360" i="105"/>
  <c r="M361" i="105"/>
  <c r="M362" i="105"/>
  <c r="M363" i="105"/>
  <c r="M364" i="105"/>
  <c r="M365" i="105"/>
  <c r="M366" i="105"/>
  <c r="M367" i="105"/>
  <c r="M368" i="105"/>
  <c r="M369" i="105"/>
  <c r="M370" i="105"/>
  <c r="M371" i="105"/>
  <c r="M372" i="105"/>
  <c r="M373" i="105"/>
  <c r="M374" i="105"/>
  <c r="M375" i="105"/>
  <c r="M376" i="105"/>
  <c r="M377" i="105"/>
  <c r="M378" i="105"/>
  <c r="M379" i="105"/>
  <c r="M380" i="105"/>
  <c r="M381" i="105"/>
  <c r="M382" i="105"/>
  <c r="M383" i="105"/>
  <c r="M384" i="105"/>
  <c r="M385" i="105"/>
  <c r="M386" i="105"/>
  <c r="M387" i="105"/>
  <c r="M388" i="105"/>
  <c r="M389" i="105"/>
  <c r="M390" i="105"/>
  <c r="M391" i="105"/>
  <c r="M392" i="105"/>
  <c r="M393" i="105"/>
  <c r="M394" i="105"/>
  <c r="M395" i="105"/>
  <c r="M396" i="105"/>
  <c r="M397" i="105"/>
  <c r="M398" i="105"/>
  <c r="M399" i="105"/>
  <c r="M400" i="105"/>
  <c r="M401" i="105"/>
  <c r="M402" i="105"/>
  <c r="M403" i="105"/>
  <c r="M404" i="105"/>
  <c r="M405" i="105"/>
  <c r="M406" i="105"/>
  <c r="M407" i="105"/>
  <c r="M408" i="105"/>
  <c r="M409" i="105"/>
  <c r="M410" i="105"/>
  <c r="M411" i="105"/>
  <c r="M412" i="105"/>
  <c r="M413" i="105"/>
  <c r="M414" i="105"/>
  <c r="M415" i="105"/>
  <c r="M416" i="105"/>
  <c r="M417" i="105"/>
  <c r="M418" i="105"/>
  <c r="M419" i="105"/>
  <c r="M420" i="105"/>
  <c r="M421" i="105"/>
  <c r="M422" i="105"/>
  <c r="M423" i="105"/>
  <c r="M424" i="105"/>
  <c r="M425" i="105"/>
  <c r="M426" i="105"/>
  <c r="M427" i="105"/>
  <c r="M428" i="105"/>
  <c r="M429" i="105"/>
  <c r="M430" i="105"/>
  <c r="M431" i="105"/>
  <c r="M432" i="105"/>
  <c r="M433" i="105"/>
  <c r="M434" i="105"/>
  <c r="M435" i="105"/>
  <c r="M436" i="105"/>
  <c r="M437" i="105"/>
  <c r="M438" i="105"/>
  <c r="M439" i="105"/>
  <c r="M440" i="105"/>
  <c r="M441" i="105"/>
  <c r="M442" i="105"/>
  <c r="M443" i="105"/>
  <c r="M444" i="105"/>
  <c r="M445" i="105"/>
  <c r="M446" i="105"/>
  <c r="M447" i="105"/>
  <c r="M448" i="105"/>
  <c r="M449" i="105"/>
  <c r="M450" i="105"/>
  <c r="M451" i="105"/>
  <c r="M452" i="105"/>
  <c r="M453" i="105"/>
  <c r="M454" i="105"/>
  <c r="M455" i="105"/>
  <c r="M456" i="105"/>
  <c r="M457" i="105"/>
  <c r="M458" i="105"/>
  <c r="M459" i="105"/>
  <c r="M460" i="105"/>
  <c r="M461" i="105"/>
  <c r="M462" i="105"/>
  <c r="M463" i="105"/>
  <c r="M464" i="105"/>
  <c r="M465" i="105"/>
  <c r="M466" i="105"/>
  <c r="M467" i="105"/>
  <c r="M468" i="105"/>
  <c r="M469" i="105"/>
  <c r="M470" i="105"/>
  <c r="M471" i="105"/>
  <c r="M472" i="105"/>
  <c r="M473" i="105"/>
  <c r="M474" i="105"/>
  <c r="M475" i="105"/>
  <c r="M476" i="105"/>
  <c r="M477" i="105"/>
  <c r="M478" i="105"/>
  <c r="M479" i="105"/>
  <c r="M480" i="105"/>
  <c r="M481" i="105"/>
  <c r="M482" i="105"/>
  <c r="M483" i="105"/>
  <c r="M484" i="105"/>
  <c r="M485" i="105"/>
  <c r="M486" i="105"/>
  <c r="M487" i="105"/>
  <c r="M488" i="105"/>
  <c r="M489" i="105"/>
  <c r="M490" i="105"/>
  <c r="M491" i="105"/>
  <c r="M492" i="105"/>
  <c r="M493" i="105"/>
  <c r="M494" i="105"/>
  <c r="M495" i="105"/>
  <c r="M496" i="105"/>
  <c r="M497" i="105"/>
  <c r="M498" i="105"/>
  <c r="M499" i="105"/>
  <c r="M500" i="105"/>
  <c r="M501" i="105"/>
  <c r="M502" i="105"/>
  <c r="M503" i="105"/>
  <c r="M504" i="105"/>
  <c r="M505" i="105"/>
  <c r="M506" i="105"/>
  <c r="M507" i="105"/>
  <c r="M508" i="105"/>
  <c r="M509" i="105"/>
  <c r="M510" i="105"/>
  <c r="M511" i="105"/>
  <c r="M512" i="105"/>
  <c r="M513" i="105"/>
  <c r="M514" i="105"/>
  <c r="M515" i="105"/>
  <c r="M516" i="105"/>
  <c r="M517" i="105"/>
  <c r="M518" i="105"/>
  <c r="M519" i="105"/>
  <c r="M520" i="105"/>
  <c r="M521" i="105"/>
  <c r="M522" i="105"/>
  <c r="M523" i="105"/>
  <c r="M524" i="105"/>
  <c r="M525" i="105"/>
  <c r="M526" i="105"/>
  <c r="M527" i="105"/>
  <c r="M528" i="105"/>
  <c r="M529" i="105"/>
  <c r="M530" i="105"/>
  <c r="M531" i="105"/>
  <c r="M532" i="105"/>
  <c r="M533" i="105"/>
  <c r="M534" i="105"/>
  <c r="M535" i="105"/>
  <c r="M536" i="105"/>
  <c r="M537" i="105"/>
  <c r="M538" i="105"/>
  <c r="M539" i="105"/>
  <c r="M540" i="105"/>
  <c r="M541" i="105"/>
  <c r="M542" i="105"/>
  <c r="M543" i="105"/>
  <c r="M544" i="105"/>
  <c r="M545" i="105"/>
  <c r="M546" i="105"/>
  <c r="M547" i="105"/>
  <c r="M548" i="105"/>
  <c r="M549" i="105"/>
  <c r="M550" i="105"/>
  <c r="M551" i="105"/>
  <c r="M552" i="105"/>
  <c r="M553" i="105"/>
  <c r="M554" i="105"/>
  <c r="M555" i="105"/>
  <c r="M556" i="105"/>
  <c r="M557" i="105"/>
  <c r="M558" i="105"/>
  <c r="M559" i="105"/>
  <c r="M560" i="105"/>
  <c r="M561" i="105"/>
  <c r="M562" i="105"/>
  <c r="M563" i="105"/>
  <c r="M564" i="105"/>
  <c r="M565" i="105"/>
  <c r="M566" i="105"/>
  <c r="M567" i="105"/>
  <c r="M568" i="105"/>
  <c r="M569" i="105"/>
  <c r="M570" i="105"/>
  <c r="M571" i="105"/>
  <c r="M572" i="105"/>
  <c r="M573" i="105"/>
  <c r="M574" i="105"/>
  <c r="M575" i="105"/>
  <c r="M576" i="105"/>
  <c r="M577" i="105"/>
  <c r="M578" i="105"/>
  <c r="M579" i="105"/>
  <c r="M580" i="105"/>
  <c r="M581" i="105"/>
  <c r="M582" i="105"/>
  <c r="M583" i="105"/>
  <c r="M584" i="105"/>
  <c r="M585" i="105"/>
  <c r="M586" i="105"/>
  <c r="M587" i="105"/>
  <c r="M588" i="105"/>
  <c r="M589" i="105"/>
  <c r="M590" i="105"/>
  <c r="M591" i="105"/>
  <c r="M592" i="105"/>
  <c r="M593" i="105"/>
  <c r="M594" i="105"/>
  <c r="M595" i="105"/>
  <c r="M596" i="105"/>
  <c r="M597" i="105"/>
  <c r="M598" i="105"/>
  <c r="M599" i="105"/>
  <c r="M600" i="105"/>
  <c r="M601" i="105"/>
  <c r="M602" i="105"/>
  <c r="M603" i="105"/>
  <c r="M604" i="105"/>
  <c r="M605" i="105"/>
  <c r="M606" i="105"/>
  <c r="M607" i="105"/>
  <c r="M608" i="105"/>
  <c r="M609" i="105"/>
  <c r="M610" i="105"/>
  <c r="M611" i="105"/>
  <c r="M612" i="105"/>
  <c r="M613" i="105"/>
  <c r="M614" i="105"/>
  <c r="M615" i="105"/>
  <c r="M616" i="105"/>
  <c r="M617" i="105"/>
  <c r="M618" i="105"/>
  <c r="M619" i="105"/>
  <c r="M620" i="105"/>
  <c r="M621" i="105"/>
  <c r="M622" i="105"/>
  <c r="M623" i="105"/>
  <c r="M624" i="105"/>
  <c r="M625" i="105"/>
  <c r="M626" i="105"/>
  <c r="M627" i="105"/>
  <c r="M628" i="105"/>
  <c r="M629" i="105"/>
  <c r="M630" i="105"/>
  <c r="M631" i="105"/>
  <c r="M632" i="105"/>
  <c r="M633" i="105"/>
  <c r="M634" i="105"/>
  <c r="M635" i="105"/>
  <c r="M636" i="105"/>
  <c r="M637" i="105"/>
  <c r="M638" i="105"/>
  <c r="M639" i="105"/>
  <c r="M640" i="105"/>
  <c r="M641" i="105"/>
  <c r="M642" i="105"/>
  <c r="M643" i="105"/>
  <c r="M644" i="105"/>
  <c r="M645" i="105"/>
  <c r="M646" i="105"/>
  <c r="M647" i="105"/>
  <c r="M648" i="105"/>
  <c r="M649" i="105"/>
  <c r="M650" i="105"/>
  <c r="M651" i="105"/>
  <c r="M652" i="105"/>
  <c r="M653" i="105"/>
  <c r="M654" i="105"/>
  <c r="M11" i="105"/>
  <c r="G28" i="81"/>
  <c r="D197" i="81"/>
  <c r="D196" i="81"/>
  <c r="D195" i="81"/>
  <c r="D194" i="81"/>
  <c r="D193" i="81"/>
  <c r="D192" i="81"/>
  <c r="D191" i="81"/>
  <c r="D190" i="81"/>
  <c r="D189" i="81"/>
  <c r="D188" i="81"/>
  <c r="D187" i="81"/>
  <c r="D186" i="81"/>
  <c r="D185" i="81"/>
  <c r="D184" i="81"/>
  <c r="D183" i="81"/>
  <c r="D182" i="81"/>
  <c r="D181" i="81"/>
  <c r="D180" i="81"/>
  <c r="D179" i="81"/>
  <c r="D198" i="81" s="1"/>
  <c r="D178" i="81"/>
  <c r="D115" i="81"/>
  <c r="D116" i="81"/>
  <c r="D117" i="81"/>
  <c r="D118" i="81"/>
  <c r="D119" i="81"/>
  <c r="D120" i="81"/>
  <c r="D121" i="81"/>
  <c r="D122" i="81"/>
  <c r="D123" i="81"/>
  <c r="D124" i="81"/>
  <c r="D125" i="81"/>
  <c r="D126" i="81"/>
  <c r="D127" i="81"/>
  <c r="D128" i="81"/>
  <c r="D129" i="81"/>
  <c r="D130" i="81"/>
  <c r="D131" i="81"/>
  <c r="D132" i="81"/>
  <c r="D133" i="81"/>
  <c r="D134" i="81"/>
  <c r="I22" i="69"/>
  <c r="F25" i="69" a="1"/>
  <c r="F25" i="69" s="1"/>
  <c r="F24" i="69" a="1"/>
  <c r="F24" i="69" s="1"/>
  <c r="F23" i="69" a="1"/>
  <c r="F23" i="69" s="1"/>
  <c r="F19" i="69" a="1"/>
  <c r="F19" i="69" s="1"/>
  <c r="F15" i="69" a="1"/>
  <c r="F15" i="69" s="1"/>
  <c r="F14" i="69" a="1"/>
  <c r="F14" i="69" s="1"/>
  <c r="F11" i="69" a="1"/>
  <c r="F11" i="69" s="1"/>
  <c r="L4" i="117"/>
  <c r="L5" i="117"/>
  <c r="L6" i="117"/>
  <c r="L7" i="117"/>
  <c r="L8" i="117"/>
  <c r="L9" i="117"/>
  <c r="L10" i="117"/>
  <c r="L11" i="117"/>
  <c r="L12" i="117"/>
  <c r="L13" i="117"/>
  <c r="L14" i="117"/>
  <c r="L15" i="117"/>
  <c r="L16" i="117"/>
  <c r="L17" i="117"/>
  <c r="L18" i="117"/>
  <c r="L19" i="117"/>
  <c r="L20" i="117"/>
  <c r="L21" i="117"/>
  <c r="L22" i="117"/>
  <c r="L23" i="117"/>
  <c r="L24" i="117"/>
  <c r="L25" i="117"/>
  <c r="L26" i="117"/>
  <c r="L27" i="117"/>
  <c r="L28" i="117"/>
  <c r="L29" i="117"/>
  <c r="L30" i="117"/>
  <c r="L31" i="117"/>
  <c r="L32" i="117"/>
  <c r="L33" i="117"/>
  <c r="L34" i="117"/>
  <c r="L35" i="117"/>
  <c r="L36" i="117"/>
  <c r="L37" i="117"/>
  <c r="L38" i="117"/>
  <c r="L39" i="117"/>
  <c r="L40" i="117"/>
  <c r="L41" i="117"/>
  <c r="L42" i="117"/>
  <c r="L43" i="117"/>
  <c r="L44" i="117"/>
  <c r="L45" i="117"/>
  <c r="L46" i="117"/>
  <c r="L47" i="117"/>
  <c r="L48" i="117"/>
  <c r="L49" i="117"/>
  <c r="L50" i="117"/>
  <c r="L51" i="117"/>
  <c r="L52" i="117"/>
  <c r="L53" i="117"/>
  <c r="L54" i="117"/>
  <c r="L55" i="117"/>
  <c r="L56" i="117"/>
  <c r="L57" i="117"/>
  <c r="L58" i="117"/>
  <c r="L59" i="117"/>
  <c r="L60" i="117"/>
  <c r="L61" i="117"/>
  <c r="L62" i="117"/>
  <c r="L63" i="117"/>
  <c r="L64" i="117"/>
  <c r="L65" i="117"/>
  <c r="L66" i="117"/>
  <c r="L67" i="117"/>
  <c r="L68" i="117"/>
  <c r="L69" i="117"/>
  <c r="L70" i="117"/>
  <c r="L71" i="117"/>
  <c r="L72" i="117"/>
  <c r="L73" i="117"/>
  <c r="L74" i="117"/>
  <c r="L75" i="117"/>
  <c r="L76" i="117"/>
  <c r="L77" i="117"/>
  <c r="L78" i="117"/>
  <c r="L79" i="117"/>
  <c r="L80" i="117"/>
  <c r="L81" i="117"/>
  <c r="L82" i="117"/>
  <c r="L83" i="117"/>
  <c r="L84" i="117"/>
  <c r="L85" i="117"/>
  <c r="L86" i="117"/>
  <c r="L87" i="117"/>
  <c r="L88" i="117"/>
  <c r="L89" i="117"/>
  <c r="L90" i="117"/>
  <c r="L91" i="117"/>
  <c r="L92" i="117"/>
  <c r="L93" i="117"/>
  <c r="L94" i="117"/>
  <c r="L95" i="117"/>
  <c r="L96" i="117"/>
  <c r="L97" i="117"/>
  <c r="L98" i="117"/>
  <c r="L99" i="117"/>
  <c r="L100" i="117"/>
  <c r="L101" i="117"/>
  <c r="L102" i="117"/>
  <c r="L103" i="117"/>
  <c r="L104" i="117"/>
  <c r="L105" i="117"/>
  <c r="L106" i="117"/>
  <c r="L107" i="117"/>
  <c r="L108" i="117"/>
  <c r="L109" i="117"/>
  <c r="L110" i="117"/>
  <c r="L111" i="117"/>
  <c r="L112" i="117"/>
  <c r="L113" i="117"/>
  <c r="L114" i="117"/>
  <c r="L115" i="117"/>
  <c r="L116" i="117"/>
  <c r="L117" i="117"/>
  <c r="L118" i="117"/>
  <c r="L119" i="117"/>
  <c r="L120" i="117"/>
  <c r="L3" i="117"/>
  <c r="G25" i="76"/>
  <c r="D167" i="81"/>
  <c r="D166" i="81"/>
  <c r="D165" i="81"/>
  <c r="D164" i="81"/>
  <c r="D163" i="81"/>
  <c r="D162" i="81"/>
  <c r="D161" i="81"/>
  <c r="D160" i="81"/>
  <c r="D159" i="81"/>
  <c r="D158" i="81"/>
  <c r="D157" i="81"/>
  <c r="D156" i="81"/>
  <c r="D155" i="81"/>
  <c r="D154" i="81"/>
  <c r="D153" i="81"/>
  <c r="D152" i="81"/>
  <c r="D151" i="81"/>
  <c r="D150" i="81"/>
  <c r="D149" i="81"/>
  <c r="D148" i="81"/>
  <c r="S12" i="69"/>
  <c r="D190" i="102" l="1"/>
  <c r="D197" i="102"/>
  <c r="D193" i="102"/>
  <c r="D184" i="102"/>
  <c r="D183" i="102"/>
  <c r="D191" i="102"/>
  <c r="D192" i="102"/>
  <c r="D180" i="102"/>
  <c r="D194" i="102"/>
  <c r="E194" i="102" s="1"/>
  <c r="D185" i="102"/>
  <c r="E185" i="102" s="1"/>
  <c r="C189" i="102"/>
  <c r="E189" i="102" s="1"/>
  <c r="D198" i="102"/>
  <c r="E198" i="102" s="1"/>
  <c r="E186" i="102"/>
  <c r="C187" i="102"/>
  <c r="E187" i="102" s="1"/>
  <c r="E184" i="102"/>
  <c r="C188" i="102"/>
  <c r="E188" i="102" s="1"/>
  <c r="D182" i="102"/>
  <c r="E182" i="102" s="1"/>
  <c r="D79" i="102"/>
  <c r="E79" i="102" s="1"/>
  <c r="D80" i="102"/>
  <c r="E80" i="102" s="1"/>
  <c r="D196" i="102"/>
  <c r="E196" i="102" s="1"/>
  <c r="D178" i="102"/>
  <c r="E178" i="102" s="1"/>
  <c r="D195" i="102"/>
  <c r="E195" i="102" s="1"/>
  <c r="C179" i="102"/>
  <c r="E179" i="102" s="1"/>
  <c r="E197" i="102"/>
  <c r="E200" i="102"/>
  <c r="E183" i="102"/>
  <c r="E180" i="102"/>
  <c r="E193" i="102"/>
  <c r="E192" i="102"/>
  <c r="E191" i="102"/>
  <c r="E199" i="102"/>
  <c r="E190" i="102"/>
  <c r="D177" i="102"/>
  <c r="E177" i="102" s="1"/>
  <c r="D181" i="102"/>
  <c r="E181" i="102" s="1"/>
  <c r="D176" i="102"/>
  <c r="E176" i="102" s="1"/>
  <c r="D135" i="81"/>
  <c r="E84" i="81"/>
  <c r="E85" i="81"/>
  <c r="E86" i="81"/>
  <c r="E87" i="81"/>
  <c r="E88" i="81"/>
  <c r="E89" i="81"/>
  <c r="E90" i="81"/>
  <c r="E91" i="81"/>
  <c r="E92" i="81"/>
  <c r="E93" i="81"/>
  <c r="E94" i="81"/>
  <c r="E95" i="81"/>
  <c r="E96" i="81"/>
  <c r="E97" i="81"/>
  <c r="E98" i="81"/>
  <c r="E99" i="81"/>
  <c r="E100" i="81"/>
  <c r="E101" i="81"/>
  <c r="E83" i="81"/>
  <c r="E82" i="81"/>
  <c r="F81" i="86" l="1"/>
  <c r="F83" i="86"/>
  <c r="E26" i="86"/>
  <c r="Q57" i="85"/>
  <c r="F113" i="85"/>
  <c r="N57" i="87"/>
  <c r="I9" i="87"/>
  <c r="I7" i="87"/>
  <c r="N7" i="87"/>
  <c r="C4" i="87"/>
  <c r="G30" i="84"/>
  <c r="F74" i="84"/>
  <c r="F76" i="84"/>
  <c r="F77" i="84"/>
  <c r="F78" i="84"/>
  <c r="F79" i="84"/>
  <c r="F80" i="84"/>
  <c r="F81" i="84"/>
  <c r="F82" i="84"/>
  <c r="F83" i="84"/>
  <c r="F84" i="84"/>
  <c r="F85" i="84"/>
  <c r="F86" i="84"/>
  <c r="F87" i="84"/>
  <c r="F88" i="84"/>
  <c r="F89" i="84"/>
  <c r="F90" i="84"/>
  <c r="F91" i="84"/>
  <c r="F92" i="84"/>
  <c r="F93" i="84"/>
  <c r="F75" i="84"/>
  <c r="C6" i="89" l="1" a="1"/>
  <c r="C6" i="89" s="1"/>
  <c r="C7" i="89" a="1"/>
  <c r="C7" i="89" s="1"/>
  <c r="F24" i="92"/>
  <c r="G71" i="83"/>
  <c r="H20" i="94"/>
  <c r="J20" i="94"/>
  <c r="I20" i="94"/>
  <c r="G19" i="70" l="1"/>
  <c r="W5" i="69"/>
  <c r="G85" i="83"/>
  <c r="G84" i="83"/>
  <c r="G83" i="83"/>
  <c r="G82" i="83"/>
  <c r="G81" i="83"/>
  <c r="G80" i="83"/>
  <c r="G79" i="83"/>
  <c r="G78" i="83"/>
  <c r="G77" i="83"/>
  <c r="G76" i="83"/>
  <c r="G75" i="83"/>
  <c r="G74" i="83"/>
  <c r="G73" i="83"/>
  <c r="G72" i="83"/>
  <c r="B14" i="112"/>
  <c r="B15" i="112"/>
  <c r="B16" i="112"/>
  <c r="B17" i="112"/>
  <c r="B18" i="112"/>
  <c r="B19" i="112"/>
  <c r="B20" i="112"/>
  <c r="F57" i="83"/>
  <c r="F56" i="83"/>
  <c r="F55" i="83"/>
  <c r="F54" i="83"/>
  <c r="F53" i="83"/>
  <c r="F52" i="83"/>
  <c r="F51" i="83"/>
  <c r="F50" i="83"/>
  <c r="F49" i="83"/>
  <c r="F48" i="83"/>
  <c r="F47" i="83"/>
  <c r="F46" i="83"/>
  <c r="F45" i="83"/>
  <c r="F44" i="83"/>
  <c r="F43" i="83"/>
  <c r="F42" i="83"/>
  <c r="F41" i="83"/>
  <c r="F40" i="83"/>
  <c r="F39" i="83"/>
  <c r="Q130" i="85"/>
  <c r="Q129" i="85"/>
  <c r="Q128" i="85"/>
  <c r="Q127" i="85"/>
  <c r="Q126" i="85"/>
  <c r="Q125" i="85"/>
  <c r="Q124" i="85"/>
  <c r="Q123" i="85"/>
  <c r="Q122" i="85"/>
  <c r="Q121" i="85"/>
  <c r="Q120" i="85"/>
  <c r="Q119" i="85"/>
  <c r="Q118" i="85"/>
  <c r="Q117" i="85"/>
  <c r="Q116" i="85"/>
  <c r="Q115" i="85"/>
  <c r="Q114" i="85"/>
  <c r="Q113" i="85"/>
  <c r="Q112" i="85"/>
  <c r="P102" i="85"/>
  <c r="P101" i="85"/>
  <c r="P100" i="85"/>
  <c r="P99" i="85"/>
  <c r="P98" i="85"/>
  <c r="P97" i="85"/>
  <c r="P96" i="85"/>
  <c r="P95" i="85"/>
  <c r="P94" i="85"/>
  <c r="P93" i="85"/>
  <c r="P92" i="85"/>
  <c r="P91" i="85"/>
  <c r="P90" i="85"/>
  <c r="P89" i="85"/>
  <c r="P88" i="85"/>
  <c r="P87" i="85"/>
  <c r="P86" i="85"/>
  <c r="P85" i="85"/>
  <c r="P84" i="85"/>
  <c r="Q75" i="85"/>
  <c r="Q74" i="85"/>
  <c r="Q73" i="85"/>
  <c r="Q72" i="85"/>
  <c r="Q71" i="85"/>
  <c r="Q70" i="85"/>
  <c r="Q69" i="85"/>
  <c r="Q68" i="85"/>
  <c r="Q67" i="85"/>
  <c r="Q66" i="85"/>
  <c r="Q65" i="85"/>
  <c r="Q64" i="85"/>
  <c r="Q63" i="85"/>
  <c r="Q62" i="85"/>
  <c r="Q61" i="85"/>
  <c r="Q60" i="85"/>
  <c r="Q59" i="85"/>
  <c r="Q58" i="85"/>
  <c r="H130" i="85"/>
  <c r="H129" i="85"/>
  <c r="H128" i="85"/>
  <c r="H127" i="85"/>
  <c r="H126" i="85"/>
  <c r="H125" i="85"/>
  <c r="H124" i="85"/>
  <c r="H123" i="85"/>
  <c r="H122" i="85"/>
  <c r="H121" i="85"/>
  <c r="H120" i="85"/>
  <c r="H119" i="85"/>
  <c r="H118" i="85"/>
  <c r="H117" i="85"/>
  <c r="H116" i="85"/>
  <c r="H115" i="85"/>
  <c r="H114" i="85"/>
  <c r="H113" i="85"/>
  <c r="H112" i="85"/>
  <c r="G102" i="85"/>
  <c r="G101" i="85"/>
  <c r="G100" i="85"/>
  <c r="G99" i="85"/>
  <c r="G98" i="85"/>
  <c r="G97" i="85"/>
  <c r="G96" i="85"/>
  <c r="G95" i="85"/>
  <c r="G94" i="85"/>
  <c r="G93" i="85"/>
  <c r="G92" i="85"/>
  <c r="G91" i="85"/>
  <c r="G90" i="85"/>
  <c r="G89" i="85"/>
  <c r="G88" i="85"/>
  <c r="G87" i="85"/>
  <c r="G86" i="85"/>
  <c r="G85" i="85"/>
  <c r="G84" i="85"/>
  <c r="H75" i="85"/>
  <c r="H74" i="85"/>
  <c r="H73" i="85"/>
  <c r="H72" i="85"/>
  <c r="H71" i="85"/>
  <c r="H70" i="85"/>
  <c r="H69" i="85"/>
  <c r="H68" i="85"/>
  <c r="H67" i="85"/>
  <c r="H66" i="85"/>
  <c r="H65" i="85"/>
  <c r="H64" i="85"/>
  <c r="H63" i="85"/>
  <c r="H62" i="85"/>
  <c r="H61" i="85"/>
  <c r="H60" i="85"/>
  <c r="H59" i="85"/>
  <c r="H58" i="85"/>
  <c r="H57" i="85"/>
  <c r="H56" i="85"/>
  <c r="P47" i="85"/>
  <c r="P46" i="85"/>
  <c r="P45" i="85"/>
  <c r="P44" i="85"/>
  <c r="P43" i="85"/>
  <c r="P42" i="85"/>
  <c r="P41" i="85"/>
  <c r="P40" i="85"/>
  <c r="P39" i="85"/>
  <c r="P38" i="85"/>
  <c r="P37" i="85"/>
  <c r="P36" i="85"/>
  <c r="P35" i="85"/>
  <c r="P34" i="85"/>
  <c r="P33" i="85"/>
  <c r="P32" i="85"/>
  <c r="P31" i="85"/>
  <c r="P30" i="85"/>
  <c r="P29" i="85"/>
  <c r="G47" i="85"/>
  <c r="G46" i="85"/>
  <c r="G45" i="85"/>
  <c r="G44" i="85"/>
  <c r="G43" i="85"/>
  <c r="G42" i="85"/>
  <c r="G41" i="85"/>
  <c r="G40" i="85"/>
  <c r="G39" i="85"/>
  <c r="G38" i="85"/>
  <c r="G37" i="85"/>
  <c r="G36" i="85"/>
  <c r="G35" i="85"/>
  <c r="G34" i="85"/>
  <c r="G33" i="85"/>
  <c r="G32" i="85"/>
  <c r="G31" i="85"/>
  <c r="G30" i="85"/>
  <c r="G29" i="85"/>
  <c r="R46" i="112" l="1"/>
  <c r="R45" i="112"/>
  <c r="V10" i="112" l="1"/>
  <c r="S18" i="112" s="1"/>
  <c r="V9" i="112"/>
  <c r="S19" i="112" s="1"/>
  <c r="V8" i="112"/>
  <c r="S20" i="112" s="1"/>
  <c r="V7" i="112"/>
  <c r="S21" i="112" s="1"/>
  <c r="V6" i="112"/>
  <c r="S17" i="112" s="1"/>
  <c r="V5" i="112"/>
  <c r="S16" i="112" s="1"/>
  <c r="R36" i="112" l="1"/>
  <c r="R28" i="112"/>
  <c r="R35" i="112"/>
  <c r="R39" i="112"/>
  <c r="R38" i="112"/>
  <c r="R37" i="112"/>
  <c r="R34" i="112"/>
  <c r="R32" i="112"/>
  <c r="R33" i="112"/>
  <c r="R31" i="112"/>
  <c r="R27" i="112"/>
  <c r="D65" i="102" l="1"/>
  <c r="D64" i="102"/>
  <c r="E131" i="77"/>
  <c r="E139" i="77"/>
  <c r="E138" i="77"/>
  <c r="E137" i="77"/>
  <c r="E136" i="77"/>
  <c r="E135" i="77"/>
  <c r="E134" i="77"/>
  <c r="E133" i="77"/>
  <c r="E132" i="77"/>
  <c r="E130" i="77"/>
  <c r="D122" i="77"/>
  <c r="E42" i="79"/>
  <c r="F16" i="69"/>
  <c r="B38" i="79"/>
  <c r="B50" i="79"/>
  <c r="B58" i="79" s="1"/>
  <c r="B49" i="79"/>
  <c r="B57" i="79" s="1"/>
  <c r="I40" i="69" l="1"/>
  <c r="I41" i="69"/>
  <c r="E140" i="77"/>
  <c r="E41" i="79"/>
  <c r="F21" i="69" a="1"/>
  <c r="F21" i="69" s="1"/>
  <c r="I21" i="69" s="1"/>
  <c r="F20" i="69" a="1"/>
  <c r="F20" i="69" s="1"/>
  <c r="D32" i="79"/>
  <c r="D33" i="79"/>
  <c r="D34" i="79"/>
  <c r="D35" i="79"/>
  <c r="D31" i="79"/>
  <c r="D20" i="79"/>
  <c r="D21" i="79"/>
  <c r="D22" i="79"/>
  <c r="D23" i="79"/>
  <c r="D24" i="79"/>
  <c r="D25" i="79"/>
  <c r="D26" i="79"/>
  <c r="D27" i="79"/>
  <c r="D28" i="79"/>
  <c r="N23" i="115"/>
  <c r="N22" i="115"/>
  <c r="I16" i="69" l="1"/>
  <c r="F13" i="69" a="1"/>
  <c r="F13" i="69" s="1"/>
  <c r="F12" i="69" a="1"/>
  <c r="F12" i="69" s="1"/>
  <c r="F10" i="69" a="1"/>
  <c r="F10" i="69" s="1"/>
  <c r="I10" i="69" s="1"/>
  <c r="I19" i="69"/>
  <c r="I20" i="69"/>
  <c r="F18" i="69" l="1" a="1"/>
  <c r="F18" i="69" s="1"/>
  <c r="I18" i="69" s="1"/>
  <c r="I15" i="69" l="1"/>
  <c r="I25" i="69"/>
  <c r="D44" i="91" l="1"/>
  <c r="E44" i="91"/>
  <c r="C44" i="91"/>
  <c r="D18" i="91"/>
  <c r="D19" i="91"/>
  <c r="D20" i="91"/>
  <c r="D21" i="91"/>
  <c r="D17" i="91"/>
  <c r="H70" i="83"/>
  <c r="H71" i="83"/>
  <c r="H72" i="83"/>
  <c r="H73" i="83"/>
  <c r="H74" i="83"/>
  <c r="H75" i="83"/>
  <c r="H76" i="83"/>
  <c r="H77" i="83"/>
  <c r="H78" i="83"/>
  <c r="H79" i="83"/>
  <c r="H80" i="83"/>
  <c r="H81" i="83"/>
  <c r="H82" i="83"/>
  <c r="H83" i="83"/>
  <c r="H84" i="83"/>
  <c r="H85" i="83"/>
  <c r="B10" i="75"/>
  <c r="D168" i="81" l="1"/>
  <c r="G103" i="77" l="1"/>
  <c r="H103" i="77" s="1"/>
  <c r="G102" i="77"/>
  <c r="H102" i="77" s="1"/>
  <c r="G101" i="77"/>
  <c r="H101" i="77" s="1"/>
  <c r="G100" i="77"/>
  <c r="H100" i="77" s="1"/>
  <c r="G99" i="77"/>
  <c r="H99" i="77" s="1"/>
  <c r="G98" i="77"/>
  <c r="H98" i="77" s="1"/>
  <c r="G97" i="77"/>
  <c r="H97" i="77" s="1"/>
  <c r="G96" i="77"/>
  <c r="H96" i="77" s="1"/>
  <c r="G95" i="77"/>
  <c r="H95" i="77" s="1"/>
  <c r="G94" i="77"/>
  <c r="H94" i="77" s="1"/>
  <c r="G93" i="77"/>
  <c r="H93" i="77" s="1"/>
  <c r="G92" i="77"/>
  <c r="H92" i="77" s="1"/>
  <c r="G91" i="77"/>
  <c r="H91" i="77" s="1"/>
  <c r="G90" i="77"/>
  <c r="H90" i="77" s="1"/>
  <c r="G89" i="77"/>
  <c r="H89" i="77" s="1"/>
  <c r="G88" i="77"/>
  <c r="H88" i="77" s="1"/>
  <c r="N26" i="76"/>
  <c r="N27" i="76"/>
  <c r="N28" i="76"/>
  <c r="N29" i="76"/>
  <c r="N30" i="76"/>
  <c r="N31" i="76"/>
  <c r="N32" i="76"/>
  <c r="N33" i="76"/>
  <c r="N34" i="76"/>
  <c r="N35" i="76"/>
  <c r="N36" i="76"/>
  <c r="N37" i="76"/>
  <c r="N38" i="76"/>
  <c r="N39" i="76"/>
  <c r="N40" i="76"/>
  <c r="N41" i="76"/>
  <c r="N42" i="76"/>
  <c r="N43" i="76"/>
  <c r="N25" i="76"/>
  <c r="G26" i="76"/>
  <c r="G27" i="76"/>
  <c r="G28" i="76"/>
  <c r="G29" i="76"/>
  <c r="G30" i="76"/>
  <c r="G31" i="76"/>
  <c r="G32" i="76"/>
  <c r="G33" i="76"/>
  <c r="G34" i="76"/>
  <c r="G35" i="76"/>
  <c r="G36" i="76"/>
  <c r="G37" i="76"/>
  <c r="G38" i="76"/>
  <c r="G39" i="76"/>
  <c r="G40" i="76"/>
  <c r="G41" i="76"/>
  <c r="G42" i="76"/>
  <c r="G43" i="76"/>
  <c r="G24" i="76"/>
  <c r="H61" i="77"/>
  <c r="H62" i="77"/>
  <c r="H63" i="77"/>
  <c r="H64" i="77"/>
  <c r="H65" i="77"/>
  <c r="H66" i="77"/>
  <c r="H67" i="77"/>
  <c r="H68" i="77"/>
  <c r="H60" i="77"/>
  <c r="H37" i="77"/>
  <c r="H38" i="77"/>
  <c r="H39" i="77"/>
  <c r="H40" i="77"/>
  <c r="H41" i="77"/>
  <c r="H42" i="77"/>
  <c r="H36" i="77"/>
  <c r="H35" i="77"/>
  <c r="H14" i="77"/>
  <c r="H15" i="77"/>
  <c r="H16" i="77"/>
  <c r="H17" i="77"/>
  <c r="H18" i="77"/>
  <c r="H19" i="77"/>
  <c r="H13" i="77"/>
  <c r="H12" i="77"/>
  <c r="F82" i="86" l="1"/>
  <c r="F84" i="86"/>
  <c r="F85" i="86"/>
  <c r="F86" i="86"/>
  <c r="F87" i="86"/>
  <c r="F88" i="86"/>
  <c r="F89" i="86"/>
  <c r="F90" i="86"/>
  <c r="F91" i="86"/>
  <c r="F92" i="86"/>
  <c r="F93" i="86"/>
  <c r="F94" i="86"/>
  <c r="F95" i="86"/>
  <c r="F96" i="86"/>
  <c r="R43" i="112" l="1"/>
  <c r="R44" i="112"/>
  <c r="R42" i="112"/>
  <c r="R41" i="112"/>
  <c r="G17" i="69" l="1"/>
  <c r="G16" i="69"/>
  <c r="F39" i="79" l="1"/>
  <c r="F38" i="79"/>
  <c r="E39" i="79"/>
  <c r="F42" i="79"/>
  <c r="F41" i="79"/>
  <c r="F40" i="79"/>
  <c r="E38" i="79"/>
  <c r="E73" i="76"/>
  <c r="R130" i="85" l="1"/>
  <c r="R129" i="85"/>
  <c r="R128" i="85"/>
  <c r="R127" i="85"/>
  <c r="R126" i="85"/>
  <c r="R125" i="85"/>
  <c r="R124" i="85"/>
  <c r="R123" i="85"/>
  <c r="R122" i="85"/>
  <c r="R121" i="85"/>
  <c r="R120" i="85"/>
  <c r="R119" i="85"/>
  <c r="R118" i="85"/>
  <c r="R117" i="85"/>
  <c r="R116" i="85"/>
  <c r="R115" i="85"/>
  <c r="R114" i="85"/>
  <c r="R113" i="85"/>
  <c r="Q102" i="85"/>
  <c r="Q101" i="85"/>
  <c r="Q100" i="85"/>
  <c r="Q99" i="85"/>
  <c r="Q98" i="85"/>
  <c r="Q97" i="85"/>
  <c r="Q96" i="85"/>
  <c r="Q95" i="85"/>
  <c r="Q94" i="85"/>
  <c r="Q93" i="85"/>
  <c r="Q92" i="85"/>
  <c r="Q91" i="85"/>
  <c r="Q90" i="85"/>
  <c r="Q89" i="85"/>
  <c r="Q88" i="85"/>
  <c r="Q87" i="85"/>
  <c r="Q86" i="85"/>
  <c r="Q85" i="85"/>
  <c r="R75" i="85"/>
  <c r="R74" i="85"/>
  <c r="R73" i="85"/>
  <c r="R72" i="85"/>
  <c r="R71" i="85"/>
  <c r="R70" i="85"/>
  <c r="R69" i="85"/>
  <c r="R68" i="85"/>
  <c r="R67" i="85"/>
  <c r="R66" i="85"/>
  <c r="R65" i="85"/>
  <c r="R64" i="85"/>
  <c r="R63" i="85"/>
  <c r="R62" i="85"/>
  <c r="R61" i="85"/>
  <c r="R60" i="85"/>
  <c r="R59" i="85"/>
  <c r="R58" i="85"/>
  <c r="Q47" i="85"/>
  <c r="Q46" i="85"/>
  <c r="Q45" i="85"/>
  <c r="Q44" i="85"/>
  <c r="Q43" i="85"/>
  <c r="Q42" i="85"/>
  <c r="Q41" i="85"/>
  <c r="Q40" i="85"/>
  <c r="Q39" i="85"/>
  <c r="Q38" i="85"/>
  <c r="Q37" i="85"/>
  <c r="Q36" i="85"/>
  <c r="Q35" i="85"/>
  <c r="Q34" i="85"/>
  <c r="Q33" i="85"/>
  <c r="Q32" i="85"/>
  <c r="Q31" i="85"/>
  <c r="Q30" i="85"/>
  <c r="F34" i="85"/>
  <c r="H34" i="85" s="1"/>
  <c r="F57" i="85"/>
  <c r="F58" i="85"/>
  <c r="F59" i="85"/>
  <c r="F60" i="85"/>
  <c r="F61" i="85"/>
  <c r="F62" i="85"/>
  <c r="F63" i="85"/>
  <c r="F64" i="85"/>
  <c r="F65" i="85"/>
  <c r="F66" i="85"/>
  <c r="F67" i="85"/>
  <c r="F68" i="85"/>
  <c r="F69" i="85"/>
  <c r="F70" i="85"/>
  <c r="F71" i="85"/>
  <c r="F72" i="85"/>
  <c r="F73" i="85"/>
  <c r="F74" i="85"/>
  <c r="F75" i="85"/>
  <c r="G57" i="85"/>
  <c r="G58" i="85"/>
  <c r="I58" i="85" s="1"/>
  <c r="G59" i="85"/>
  <c r="I59" i="85" s="1"/>
  <c r="G60" i="85"/>
  <c r="I60" i="85" s="1"/>
  <c r="G61" i="85"/>
  <c r="I61" i="85" s="1"/>
  <c r="G62" i="85"/>
  <c r="I62" i="85" s="1"/>
  <c r="G63" i="85"/>
  <c r="I63" i="85" s="1"/>
  <c r="G64" i="85"/>
  <c r="I64" i="85" s="1"/>
  <c r="G65" i="85"/>
  <c r="I65" i="85" s="1"/>
  <c r="G66" i="85"/>
  <c r="I66" i="85" s="1"/>
  <c r="G67" i="85"/>
  <c r="I67" i="85" s="1"/>
  <c r="G68" i="85"/>
  <c r="I68" i="85" s="1"/>
  <c r="G69" i="85"/>
  <c r="I69" i="85" s="1"/>
  <c r="G70" i="85"/>
  <c r="I70" i="85" s="1"/>
  <c r="G71" i="85"/>
  <c r="I71" i="85" s="1"/>
  <c r="G72" i="85"/>
  <c r="I72" i="85" s="1"/>
  <c r="G73" i="85"/>
  <c r="I73" i="85" s="1"/>
  <c r="G74" i="85"/>
  <c r="I74" i="85" s="1"/>
  <c r="G75" i="85"/>
  <c r="I75" i="85" s="1"/>
  <c r="F56" i="85"/>
  <c r="E94" i="83"/>
  <c r="E95" i="83"/>
  <c r="E96" i="83"/>
  <c r="E97" i="83"/>
  <c r="E98" i="83"/>
  <c r="E99" i="83"/>
  <c r="E100" i="83"/>
  <c r="E101" i="83"/>
  <c r="E102" i="83"/>
  <c r="E103" i="83"/>
  <c r="E104" i="83"/>
  <c r="E105" i="83"/>
  <c r="E106" i="83"/>
  <c r="E107" i="83"/>
  <c r="E108" i="83"/>
  <c r="E109" i="83"/>
  <c r="E110" i="83"/>
  <c r="E111" i="83"/>
  <c r="E112" i="83"/>
  <c r="E93" i="83"/>
  <c r="I11" i="69"/>
  <c r="I14" i="69"/>
  <c r="I13" i="69"/>
  <c r="I12" i="69"/>
  <c r="I24" i="69"/>
  <c r="I23" i="69"/>
  <c r="B21" i="112" l="1"/>
  <c r="B22" i="112"/>
  <c r="B23" i="112"/>
  <c r="B24" i="112"/>
  <c r="B25" i="112"/>
  <c r="B26" i="112"/>
  <c r="B27" i="112"/>
  <c r="B28" i="112"/>
  <c r="B29" i="112"/>
  <c r="B30" i="112"/>
  <c r="B31" i="112"/>
  <c r="B32" i="112"/>
  <c r="B33" i="112"/>
  <c r="B34" i="112"/>
  <c r="B35" i="112"/>
  <c r="B36" i="112"/>
  <c r="B37" i="112"/>
  <c r="B38" i="112"/>
  <c r="B39" i="112"/>
  <c r="B40" i="112"/>
  <c r="B41" i="112"/>
  <c r="B42" i="112"/>
  <c r="B43" i="112"/>
  <c r="B44" i="112"/>
  <c r="B45" i="112"/>
  <c r="B46" i="112"/>
  <c r="B47" i="112"/>
  <c r="B48" i="112"/>
  <c r="B49" i="112"/>
  <c r="B50" i="112"/>
  <c r="B51" i="112"/>
  <c r="B52" i="112"/>
  <c r="B53" i="112"/>
  <c r="B54" i="112"/>
  <c r="B55" i="112"/>
  <c r="B56" i="112"/>
  <c r="B57" i="112"/>
  <c r="B58" i="112"/>
  <c r="B59" i="112"/>
  <c r="B60" i="112"/>
  <c r="B61" i="112"/>
  <c r="B62" i="112"/>
  <c r="B64" i="112"/>
  <c r="B63" i="112"/>
  <c r="B65" i="112"/>
  <c r="B66" i="112"/>
  <c r="B67" i="112"/>
  <c r="B68" i="112"/>
  <c r="B70" i="112"/>
  <c r="B69" i="112"/>
  <c r="B71" i="112"/>
  <c r="B72" i="112"/>
  <c r="B73" i="112"/>
  <c r="B74" i="112"/>
  <c r="B76" i="112"/>
  <c r="B75" i="112"/>
  <c r="B77" i="112"/>
  <c r="B78" i="112"/>
  <c r="B79" i="112"/>
  <c r="B80" i="112"/>
  <c r="B82" i="112"/>
  <c r="B81" i="112"/>
  <c r="B13" i="112"/>
  <c r="B12" i="112"/>
  <c r="B11" i="112"/>
  <c r="B10" i="112"/>
  <c r="B9" i="112"/>
  <c r="B8" i="112"/>
  <c r="B7" i="112"/>
  <c r="B6" i="112"/>
  <c r="B5" i="112"/>
  <c r="G84" i="77" l="1"/>
  <c r="H84" i="77" s="1"/>
  <c r="I22" i="94"/>
  <c r="O24" i="91"/>
  <c r="C4" i="89" a="1"/>
  <c r="C4" i="89" s="1"/>
  <c r="C5" i="89" a="1"/>
  <c r="C5" i="89" s="1"/>
  <c r="C3" i="89" a="1"/>
  <c r="C3" i="89" s="1"/>
  <c r="N18" i="91"/>
  <c r="M7" i="112" l="1"/>
  <c r="L3" i="88"/>
  <c r="L17" i="88"/>
  <c r="M17" i="88" s="1"/>
  <c r="L37" i="88"/>
  <c r="M37" i="88" s="1"/>
  <c r="L18" i="88"/>
  <c r="M18" i="88" s="1"/>
  <c r="L38" i="88"/>
  <c r="M38" i="88" s="1"/>
  <c r="L19" i="88"/>
  <c r="M19" i="88" s="1"/>
  <c r="L39" i="88"/>
  <c r="M39" i="88" s="1"/>
  <c r="L20" i="88"/>
  <c r="M20" i="88" s="1"/>
  <c r="L40" i="88"/>
  <c r="M40" i="88" s="1"/>
  <c r="L21" i="88"/>
  <c r="M21" i="88" s="1"/>
  <c r="L41" i="88"/>
  <c r="M41" i="88" s="1"/>
  <c r="L22" i="88"/>
  <c r="M22" i="88" s="1"/>
  <c r="L42" i="88"/>
  <c r="M42" i="88" s="1"/>
  <c r="L23" i="88"/>
  <c r="M23" i="88" s="1"/>
  <c r="L43" i="88"/>
  <c r="M43" i="88" s="1"/>
  <c r="L4" i="88"/>
  <c r="M4" i="88" s="1"/>
  <c r="L24" i="88"/>
  <c r="M24" i="88" s="1"/>
  <c r="L44" i="88"/>
  <c r="M44" i="88" s="1"/>
  <c r="L5" i="88"/>
  <c r="M5" i="88" s="1"/>
  <c r="L25" i="88"/>
  <c r="M25" i="88" s="1"/>
  <c r="L45" i="88"/>
  <c r="M45" i="88" s="1"/>
  <c r="L6" i="88"/>
  <c r="M6" i="88" s="1"/>
  <c r="L26" i="88"/>
  <c r="M26" i="88" s="1"/>
  <c r="L46" i="88"/>
  <c r="M46" i="88" s="1"/>
  <c r="L7" i="88"/>
  <c r="M7" i="88" s="1"/>
  <c r="L27" i="88"/>
  <c r="M27" i="88" s="1"/>
  <c r="L47" i="88"/>
  <c r="M47" i="88" s="1"/>
  <c r="L8" i="88"/>
  <c r="M8" i="88" s="1"/>
  <c r="L28" i="88"/>
  <c r="M28" i="88" s="1"/>
  <c r="L48" i="88"/>
  <c r="M48" i="88" s="1"/>
  <c r="L9" i="88"/>
  <c r="M9" i="88" s="1"/>
  <c r="L29" i="88"/>
  <c r="M29" i="88" s="1"/>
  <c r="L49" i="88"/>
  <c r="M49" i="88" s="1"/>
  <c r="L10" i="88"/>
  <c r="M10" i="88" s="1"/>
  <c r="L30" i="88"/>
  <c r="M30" i="88" s="1"/>
  <c r="L50" i="88"/>
  <c r="M50" i="88" s="1"/>
  <c r="L11" i="88"/>
  <c r="M11" i="88" s="1"/>
  <c r="L31" i="88"/>
  <c r="M31" i="88" s="1"/>
  <c r="L51" i="88"/>
  <c r="M51" i="88" s="1"/>
  <c r="L12" i="88"/>
  <c r="M12" i="88" s="1"/>
  <c r="L32" i="88"/>
  <c r="M32" i="88" s="1"/>
  <c r="L52" i="88"/>
  <c r="M52" i="88" s="1"/>
  <c r="L13" i="88"/>
  <c r="M13" i="88" s="1"/>
  <c r="L14" i="88"/>
  <c r="M14" i="88" s="1"/>
  <c r="L15" i="88"/>
  <c r="M15" i="88" s="1"/>
  <c r="L16" i="88"/>
  <c r="M16" i="88" s="1"/>
  <c r="L33" i="88"/>
  <c r="M33" i="88" s="1"/>
  <c r="L34" i="88"/>
  <c r="M34" i="88" s="1"/>
  <c r="L35" i="88"/>
  <c r="M35" i="88" s="1"/>
  <c r="L36" i="88"/>
  <c r="M36" i="88" s="1"/>
  <c r="L53" i="88"/>
  <c r="M53" i="88" s="1"/>
  <c r="L54" i="88"/>
  <c r="M54" i="88" s="1"/>
  <c r="M3" i="88"/>
  <c r="M107" i="112"/>
  <c r="M5" i="112"/>
  <c r="M25" i="112"/>
  <c r="M45" i="112"/>
  <c r="M65" i="112"/>
  <c r="M106" i="112"/>
  <c r="M6" i="112"/>
  <c r="M26" i="112"/>
  <c r="M46" i="112"/>
  <c r="M66" i="112"/>
  <c r="M105" i="112"/>
  <c r="M27" i="112"/>
  <c r="M47" i="112"/>
  <c r="M67" i="112"/>
  <c r="M104" i="112"/>
  <c r="M8" i="112"/>
  <c r="M28" i="112"/>
  <c r="M48" i="112"/>
  <c r="M68" i="112"/>
  <c r="M103" i="112"/>
  <c r="S43" i="112" s="1"/>
  <c r="M9" i="112"/>
  <c r="M29" i="112"/>
  <c r="M49" i="112"/>
  <c r="M70" i="112"/>
  <c r="M102" i="112"/>
  <c r="M10" i="112"/>
  <c r="M30" i="112"/>
  <c r="M50" i="112"/>
  <c r="M69" i="112"/>
  <c r="M101" i="112"/>
  <c r="M11" i="112"/>
  <c r="F38" i="83" s="1"/>
  <c r="M31" i="112"/>
  <c r="M51" i="112"/>
  <c r="M71" i="112"/>
  <c r="M100" i="112"/>
  <c r="M12" i="112"/>
  <c r="M32" i="112"/>
  <c r="M52" i="112"/>
  <c r="M72" i="112"/>
  <c r="M99" i="112"/>
  <c r="M13" i="112"/>
  <c r="M33" i="112"/>
  <c r="M73" i="112"/>
  <c r="M98" i="112"/>
  <c r="M14" i="112"/>
  <c r="M34" i="112"/>
  <c r="M54" i="112"/>
  <c r="M74" i="112"/>
  <c r="M97" i="112"/>
  <c r="M15" i="112"/>
  <c r="M35" i="112"/>
  <c r="M55" i="112"/>
  <c r="M76" i="112"/>
  <c r="M96" i="112"/>
  <c r="M16" i="112"/>
  <c r="M36" i="112"/>
  <c r="M56" i="112"/>
  <c r="M75" i="112"/>
  <c r="M95" i="112"/>
  <c r="M17" i="112"/>
  <c r="G68" i="83" s="1"/>
  <c r="H68" i="83" s="1"/>
  <c r="M37" i="112"/>
  <c r="M57" i="112"/>
  <c r="M77" i="112"/>
  <c r="M94" i="112"/>
  <c r="M18" i="112"/>
  <c r="M38" i="112"/>
  <c r="M58" i="112"/>
  <c r="M78" i="112"/>
  <c r="M93" i="112"/>
  <c r="S42" i="112" s="1"/>
  <c r="M19" i="112"/>
  <c r="M39" i="112"/>
  <c r="M59" i="112"/>
  <c r="M79" i="112"/>
  <c r="M92" i="112"/>
  <c r="M20" i="112"/>
  <c r="M40" i="112"/>
  <c r="M60" i="112"/>
  <c r="S45" i="112" s="1"/>
  <c r="M21" i="112"/>
  <c r="M41" i="112"/>
  <c r="M61" i="112"/>
  <c r="M90" i="112"/>
  <c r="M42" i="112"/>
  <c r="M62" i="112"/>
  <c r="M81" i="112"/>
  <c r="M53" i="112"/>
  <c r="M80" i="112"/>
  <c r="M91" i="112"/>
  <c r="M82" i="112"/>
  <c r="M22" i="112"/>
  <c r="G86" i="77" s="1"/>
  <c r="H86" i="77" s="1"/>
  <c r="M23" i="112"/>
  <c r="M89" i="112"/>
  <c r="M88" i="112"/>
  <c r="M24" i="112"/>
  <c r="M43" i="112"/>
  <c r="M44" i="112"/>
  <c r="M64" i="112"/>
  <c r="M63" i="112"/>
  <c r="S46" i="112" s="1"/>
  <c r="I11" i="87"/>
  <c r="I12" i="87"/>
  <c r="I17" i="87"/>
  <c r="I18" i="87"/>
  <c r="I23" i="87"/>
  <c r="I24" i="87"/>
  <c r="I29" i="87"/>
  <c r="I30" i="87"/>
  <c r="I35" i="87"/>
  <c r="I36" i="87"/>
  <c r="I41" i="87"/>
  <c r="I42" i="87"/>
  <c r="I47" i="87"/>
  <c r="I48" i="87"/>
  <c r="I53" i="87"/>
  <c r="I54" i="87"/>
  <c r="I59" i="87"/>
  <c r="I60" i="87"/>
  <c r="I65" i="87"/>
  <c r="I66" i="87"/>
  <c r="I71" i="87"/>
  <c r="I72" i="87"/>
  <c r="I77" i="87"/>
  <c r="I78" i="87"/>
  <c r="I83" i="87"/>
  <c r="I84" i="87"/>
  <c r="I89" i="87"/>
  <c r="I90" i="87"/>
  <c r="I95" i="87"/>
  <c r="I96" i="87"/>
  <c r="I101" i="87"/>
  <c r="I102" i="87"/>
  <c r="I107" i="87"/>
  <c r="I108" i="87"/>
  <c r="I113" i="87"/>
  <c r="I114" i="87"/>
  <c r="I119" i="87"/>
  <c r="I120" i="87"/>
  <c r="I125" i="87"/>
  <c r="I126" i="87"/>
  <c r="I131" i="87"/>
  <c r="I132" i="87"/>
  <c r="I137" i="87"/>
  <c r="I138" i="87"/>
  <c r="I143" i="87"/>
  <c r="I144" i="87"/>
  <c r="I149" i="87"/>
  <c r="I150" i="87"/>
  <c r="I155" i="87"/>
  <c r="I156" i="87"/>
  <c r="I161" i="87"/>
  <c r="I162" i="87"/>
  <c r="I167" i="87"/>
  <c r="I168" i="87"/>
  <c r="I173" i="87"/>
  <c r="I174" i="87"/>
  <c r="I179" i="87"/>
  <c r="I180" i="87"/>
  <c r="I185" i="87"/>
  <c r="I186" i="87"/>
  <c r="I191" i="87"/>
  <c r="I192" i="87"/>
  <c r="I197" i="87"/>
  <c r="I198" i="87"/>
  <c r="I203" i="87"/>
  <c r="I204" i="87"/>
  <c r="I209" i="87"/>
  <c r="I210" i="87"/>
  <c r="I215" i="87"/>
  <c r="I216" i="87"/>
  <c r="I221" i="87"/>
  <c r="I222" i="87"/>
  <c r="I227" i="87"/>
  <c r="I228" i="87"/>
  <c r="I233" i="87"/>
  <c r="I234" i="87"/>
  <c r="I239" i="87"/>
  <c r="I240" i="87"/>
  <c r="I245" i="87"/>
  <c r="I246" i="87"/>
  <c r="I251" i="87"/>
  <c r="I252" i="87"/>
  <c r="I257" i="87"/>
  <c r="I258" i="87"/>
  <c r="I263" i="87"/>
  <c r="I264" i="87"/>
  <c r="I269" i="87"/>
  <c r="I270" i="87"/>
  <c r="I275" i="87"/>
  <c r="I276" i="87"/>
  <c r="I281" i="87"/>
  <c r="I282" i="87"/>
  <c r="I287" i="87"/>
  <c r="I288" i="87"/>
  <c r="I293" i="87"/>
  <c r="I294" i="87"/>
  <c r="I299" i="87"/>
  <c r="I300" i="87"/>
  <c r="I305" i="87"/>
  <c r="I306" i="87"/>
  <c r="I311" i="87"/>
  <c r="I312" i="87"/>
  <c r="I317" i="87"/>
  <c r="I318" i="87"/>
  <c r="I323" i="87"/>
  <c r="I324" i="87"/>
  <c r="S36" i="112" l="1"/>
  <c r="C6" i="87"/>
  <c r="I10" i="87" s="1"/>
  <c r="S44" i="112"/>
  <c r="G87" i="77" s="1"/>
  <c r="H87" i="77" s="1"/>
  <c r="S33" i="112"/>
  <c r="S27" i="112"/>
  <c r="S32" i="112"/>
  <c r="S38" i="112"/>
  <c r="G67" i="83"/>
  <c r="H67" i="83" s="1"/>
  <c r="S31" i="112"/>
  <c r="G85" i="77"/>
  <c r="H85" i="77" s="1"/>
  <c r="S37" i="112"/>
  <c r="G69" i="83"/>
  <c r="H69" i="83" s="1"/>
  <c r="G66" i="83"/>
  <c r="H66" i="83" s="1"/>
  <c r="C5" i="87"/>
  <c r="S41" i="112"/>
  <c r="G70" i="83" s="1"/>
  <c r="S28" i="112"/>
  <c r="S39" i="112"/>
  <c r="S35" i="112"/>
  <c r="S34" i="112"/>
  <c r="U10" i="112"/>
  <c r="U9" i="112"/>
  <c r="U8" i="112"/>
  <c r="U7" i="112"/>
  <c r="U6" i="112"/>
  <c r="U5" i="112"/>
  <c r="T10" i="112"/>
  <c r="T9" i="112"/>
  <c r="T8" i="112"/>
  <c r="T7" i="112"/>
  <c r="T6" i="112"/>
  <c r="T5" i="112"/>
  <c r="F94" i="84" l="1"/>
  <c r="E72" i="76" l="1"/>
  <c r="E74" i="76"/>
  <c r="E75" i="76"/>
  <c r="E76" i="76"/>
  <c r="E77" i="76"/>
  <c r="E78" i="76"/>
  <c r="E79" i="76"/>
  <c r="E80" i="76"/>
  <c r="E81" i="76"/>
  <c r="E82" i="76"/>
  <c r="E83" i="76"/>
  <c r="E84" i="76"/>
  <c r="E85" i="76"/>
  <c r="E86" i="76"/>
  <c r="E87" i="76"/>
  <c r="E88" i="76"/>
  <c r="E89" i="76"/>
  <c r="E90" i="76"/>
  <c r="E71" i="76"/>
  <c r="L89" i="77" l="1"/>
  <c r="L93" i="77"/>
  <c r="L96" i="77"/>
  <c r="L91" i="77"/>
  <c r="L88" i="77"/>
  <c r="L76" i="83"/>
  <c r="L94" i="77"/>
  <c r="L72" i="83"/>
  <c r="L90" i="77"/>
  <c r="L77" i="83"/>
  <c r="L95" i="77"/>
  <c r="L74" i="83"/>
  <c r="L92" i="77"/>
  <c r="L70" i="83"/>
  <c r="L71" i="83"/>
  <c r="L75" i="83"/>
  <c r="L73" i="83"/>
  <c r="L78" i="83"/>
  <c r="R29" i="112"/>
  <c r="E91" i="76"/>
  <c r="K93" i="77" l="1"/>
  <c r="K90" i="77"/>
  <c r="K91" i="77"/>
  <c r="K95" i="77"/>
  <c r="K89" i="77"/>
  <c r="K96" i="77"/>
  <c r="K92" i="77"/>
  <c r="K94" i="77"/>
  <c r="K88" i="77"/>
  <c r="K76" i="83"/>
  <c r="K78" i="83"/>
  <c r="K73" i="83"/>
  <c r="K75" i="83"/>
  <c r="K71" i="83"/>
  <c r="K72" i="83"/>
  <c r="K70" i="83"/>
  <c r="K77" i="83"/>
  <c r="K74" i="83"/>
  <c r="D181" i="95"/>
  <c r="D59" i="95"/>
  <c r="D66" i="95"/>
  <c r="D115" i="95"/>
  <c r="D26" i="95"/>
  <c r="D146" i="95"/>
  <c r="D113" i="95"/>
  <c r="D177" i="95"/>
  <c r="D56" i="95"/>
  <c r="D173" i="95"/>
  <c r="D111" i="95"/>
  <c r="D30" i="95"/>
  <c r="D91" i="95"/>
  <c r="D104" i="95"/>
  <c r="D174" i="95"/>
  <c r="D99" i="95"/>
  <c r="D185" i="95"/>
  <c r="D153" i="95"/>
  <c r="D105" i="95"/>
  <c r="D180" i="95"/>
  <c r="D71" i="95"/>
  <c r="D10" i="95"/>
  <c r="D65" i="95"/>
  <c r="D172" i="95"/>
  <c r="D60" i="95"/>
  <c r="D42" i="95"/>
  <c r="D11" i="95"/>
  <c r="D160" i="95"/>
  <c r="D19" i="95"/>
  <c r="D121" i="95"/>
  <c r="D21" i="95"/>
  <c r="D178" i="95"/>
  <c r="D55" i="95"/>
  <c r="D53" i="95"/>
  <c r="D175" i="95"/>
  <c r="D176" i="95"/>
  <c r="D134" i="95"/>
  <c r="D12" i="95"/>
  <c r="D80" i="95"/>
  <c r="D156" i="95"/>
  <c r="D182" i="95"/>
  <c r="D137" i="95"/>
  <c r="D149" i="95"/>
  <c r="D39" i="95"/>
  <c r="D147" i="95"/>
  <c r="D141" i="95"/>
  <c r="D20" i="95"/>
  <c r="D154" i="95"/>
  <c r="D140" i="95"/>
  <c r="D143" i="95"/>
  <c r="D139" i="95"/>
  <c r="D165" i="95"/>
  <c r="D114" i="95"/>
  <c r="D144" i="95"/>
  <c r="D155" i="95"/>
  <c r="D28" i="95"/>
  <c r="D64" i="95"/>
  <c r="D27" i="95"/>
  <c r="D84" i="95"/>
  <c r="D127" i="95"/>
  <c r="D79" i="95"/>
  <c r="D171" i="95"/>
  <c r="D9" i="95"/>
  <c r="D103" i="95"/>
  <c r="D58" i="95"/>
  <c r="D57" i="95"/>
  <c r="D41" i="95"/>
  <c r="D13" i="95"/>
  <c r="D22" i="95"/>
  <c r="D69" i="95"/>
  <c r="D170" i="95"/>
  <c r="D85" i="95"/>
  <c r="D31" i="95"/>
  <c r="D119" i="95"/>
  <c r="D8" i="95"/>
  <c r="D75" i="95"/>
  <c r="D34" i="95"/>
  <c r="D183" i="95"/>
  <c r="D92" i="95"/>
  <c r="D52" i="95"/>
  <c r="D123" i="95"/>
  <c r="D36" i="95"/>
  <c r="D35" i="95"/>
  <c r="D15" i="95"/>
  <c r="D162" i="95"/>
  <c r="D100" i="95"/>
  <c r="D89" i="95"/>
  <c r="D46" i="95"/>
  <c r="D73" i="95"/>
  <c r="D47" i="95"/>
  <c r="D118" i="95"/>
  <c r="D97" i="95"/>
  <c r="D96" i="95"/>
  <c r="D98" i="95"/>
  <c r="D6" i="95"/>
  <c r="D152" i="95"/>
  <c r="D164" i="95"/>
  <c r="D136" i="95"/>
  <c r="D72" i="95"/>
  <c r="D107" i="95"/>
  <c r="D122" i="95"/>
  <c r="D90" i="95"/>
  <c r="D125" i="95"/>
  <c r="D95" i="95"/>
  <c r="D148" i="95"/>
  <c r="D74" i="95"/>
  <c r="D86" i="95"/>
  <c r="D45" i="95"/>
  <c r="D67" i="95"/>
  <c r="D142" i="95"/>
  <c r="D186" i="95"/>
  <c r="D16" i="95"/>
  <c r="D23" i="95"/>
  <c r="D68" i="95"/>
  <c r="D70" i="95"/>
  <c r="D61" i="95"/>
  <c r="D29" i="95"/>
  <c r="D63" i="95"/>
  <c r="D49" i="95"/>
  <c r="D158" i="95"/>
  <c r="D151" i="95"/>
  <c r="D44" i="95"/>
  <c r="D62" i="95"/>
  <c r="D135" i="95"/>
  <c r="D128" i="95"/>
  <c r="D145" i="95"/>
  <c r="D40" i="95"/>
  <c r="D184" i="95"/>
  <c r="D101" i="95"/>
  <c r="D166" i="95"/>
  <c r="D94" i="95"/>
  <c r="D167" i="95"/>
  <c r="D150" i="95"/>
  <c r="D25" i="95"/>
  <c r="D187" i="95"/>
  <c r="D188" i="95"/>
  <c r="D133" i="95"/>
  <c r="D43" i="95"/>
  <c r="D124" i="95"/>
  <c r="D93" i="95"/>
  <c r="D102" i="95"/>
  <c r="D161" i="95"/>
  <c r="D120" i="95"/>
  <c r="D77" i="95"/>
  <c r="D7" i="95"/>
  <c r="D76" i="95"/>
  <c r="D17" i="95"/>
  <c r="D38" i="95"/>
  <c r="D33" i="95"/>
  <c r="D82" i="95"/>
  <c r="D81" i="95"/>
  <c r="D4" i="95"/>
  <c r="D14" i="95"/>
  <c r="D169" i="95"/>
  <c r="D37" i="95"/>
  <c r="D88" i="95"/>
  <c r="D159" i="95"/>
  <c r="D5" i="95"/>
  <c r="D129" i="95"/>
  <c r="D87" i="95"/>
  <c r="D106" i="95"/>
  <c r="D54" i="95"/>
  <c r="D51" i="95"/>
  <c r="D24" i="95"/>
  <c r="D179" i="95"/>
  <c r="D78" i="95"/>
  <c r="D163" i="95"/>
  <c r="D132" i="95"/>
  <c r="D50" i="95"/>
  <c r="D110" i="95"/>
  <c r="D108" i="95"/>
  <c r="D109" i="95"/>
  <c r="D138" i="95"/>
  <c r="D168" i="95"/>
  <c r="D18" i="95"/>
  <c r="D48" i="95"/>
  <c r="D32" i="95"/>
  <c r="D112" i="95"/>
  <c r="G237" i="111" l="1"/>
  <c r="G236" i="111"/>
  <c r="G235" i="111"/>
  <c r="G234" i="111"/>
  <c r="G233" i="111"/>
  <c r="G232" i="111"/>
  <c r="G231" i="111"/>
  <c r="G230" i="111"/>
  <c r="G229" i="111"/>
  <c r="G228" i="111"/>
  <c r="G227" i="111"/>
  <c r="G226" i="111"/>
  <c r="G225" i="111"/>
  <c r="G224" i="111"/>
  <c r="G223" i="111"/>
  <c r="G222" i="111"/>
  <c r="G221" i="111"/>
  <c r="G220" i="111"/>
  <c r="G219" i="111"/>
  <c r="G218" i="111"/>
  <c r="G217" i="111"/>
  <c r="G216" i="111"/>
  <c r="G215" i="111"/>
  <c r="G214" i="111"/>
  <c r="G213" i="111"/>
  <c r="G212" i="111"/>
  <c r="G211" i="111"/>
  <c r="G210" i="111"/>
  <c r="G209" i="111"/>
  <c r="G208" i="111"/>
  <c r="G207" i="111"/>
  <c r="G206" i="111"/>
  <c r="G205" i="111"/>
  <c r="G204" i="111"/>
  <c r="G203" i="111"/>
  <c r="G202" i="111"/>
  <c r="G201" i="111"/>
  <c r="G200" i="111"/>
  <c r="G199" i="111"/>
  <c r="G198" i="111"/>
  <c r="G197" i="111"/>
  <c r="G196" i="111"/>
  <c r="G195" i="111"/>
  <c r="G194" i="111"/>
  <c r="G193" i="111"/>
  <c r="G192" i="111"/>
  <c r="G191" i="111"/>
  <c r="G190" i="111"/>
  <c r="G189" i="111"/>
  <c r="G188" i="111"/>
  <c r="G187" i="111"/>
  <c r="G186" i="111"/>
  <c r="G185" i="111"/>
  <c r="G184" i="111"/>
  <c r="G183" i="111"/>
  <c r="G182" i="111"/>
  <c r="G181" i="111"/>
  <c r="G180" i="111"/>
  <c r="G179" i="111"/>
  <c r="G178" i="111"/>
  <c r="G177" i="111"/>
  <c r="G176" i="111"/>
  <c r="G175" i="111"/>
  <c r="G174" i="111"/>
  <c r="G173" i="111"/>
  <c r="G172" i="111"/>
  <c r="G171" i="111"/>
  <c r="G170" i="111"/>
  <c r="G169" i="111"/>
  <c r="G168" i="111"/>
  <c r="G167" i="111"/>
  <c r="G166" i="111"/>
  <c r="G165" i="111"/>
  <c r="G164" i="111"/>
  <c r="G163" i="111"/>
  <c r="G162" i="111"/>
  <c r="G161" i="111"/>
  <c r="G160" i="111"/>
  <c r="G159" i="111"/>
  <c r="G158" i="111"/>
  <c r="G157" i="111"/>
  <c r="G156" i="111"/>
  <c r="G155" i="111"/>
  <c r="G154" i="111"/>
  <c r="G153" i="111"/>
  <c r="G152" i="111"/>
  <c r="G151" i="111"/>
  <c r="G150" i="111"/>
  <c r="G149" i="111"/>
  <c r="G148" i="111"/>
  <c r="G147" i="111"/>
  <c r="G146" i="111"/>
  <c r="G145" i="111"/>
  <c r="G144" i="111"/>
  <c r="G143" i="111"/>
  <c r="G142" i="111"/>
  <c r="G141" i="111"/>
  <c r="G139" i="111"/>
  <c r="G138" i="111"/>
  <c r="G137" i="111"/>
  <c r="G136" i="111"/>
  <c r="G135" i="111"/>
  <c r="G134" i="111"/>
  <c r="G133" i="111"/>
  <c r="G132" i="111"/>
  <c r="G131" i="111"/>
  <c r="G130" i="111"/>
  <c r="G129" i="111"/>
  <c r="G128" i="111"/>
  <c r="G127" i="111"/>
  <c r="G126" i="111"/>
  <c r="G125" i="111"/>
  <c r="G124" i="111"/>
  <c r="G123" i="111"/>
  <c r="G122" i="111"/>
  <c r="G121" i="111"/>
  <c r="G120" i="111"/>
  <c r="G119" i="111"/>
  <c r="G118" i="111"/>
  <c r="G117" i="111"/>
  <c r="G116" i="111"/>
  <c r="G115" i="111"/>
  <c r="G114" i="111"/>
  <c r="G113" i="111"/>
  <c r="G112" i="111"/>
  <c r="G111" i="111"/>
  <c r="G110" i="111"/>
  <c r="G109" i="111"/>
  <c r="G108" i="111"/>
  <c r="G107" i="111"/>
  <c r="G106" i="111"/>
  <c r="G105" i="111"/>
  <c r="G104" i="111"/>
  <c r="G103" i="111"/>
  <c r="G102" i="111"/>
  <c r="G101" i="111"/>
  <c r="G100" i="111"/>
  <c r="G99" i="111"/>
  <c r="G98" i="111"/>
  <c r="G97" i="111"/>
  <c r="G96" i="111"/>
  <c r="G95" i="111"/>
  <c r="G94" i="111"/>
  <c r="G93" i="111"/>
  <c r="G92" i="111"/>
  <c r="G91" i="111"/>
  <c r="G90" i="111"/>
  <c r="G89" i="111"/>
  <c r="G88" i="111"/>
  <c r="G87" i="111"/>
  <c r="G86" i="111"/>
  <c r="G85" i="111"/>
  <c r="G84" i="111"/>
  <c r="G83" i="111"/>
  <c r="G82" i="111"/>
  <c r="G81" i="111"/>
  <c r="G80" i="111"/>
  <c r="G79" i="111"/>
  <c r="G78" i="111"/>
  <c r="G77" i="111"/>
  <c r="G76" i="111"/>
  <c r="G75" i="111"/>
  <c r="G74" i="111"/>
  <c r="G73" i="111"/>
  <c r="G72" i="111"/>
  <c r="G71" i="111"/>
  <c r="G70" i="111"/>
  <c r="G69" i="111"/>
  <c r="G68" i="111"/>
  <c r="G67" i="111"/>
  <c r="G66" i="111"/>
  <c r="G65" i="111"/>
  <c r="G64" i="111"/>
  <c r="G63" i="111"/>
  <c r="G62" i="111"/>
  <c r="G61" i="111"/>
  <c r="G60" i="111"/>
  <c r="G59" i="111"/>
  <c r="G58" i="111"/>
  <c r="G57" i="111"/>
  <c r="G56" i="111"/>
  <c r="G55" i="111"/>
  <c r="G54" i="111"/>
  <c r="G53" i="111"/>
  <c r="G52" i="111"/>
  <c r="G51" i="111"/>
  <c r="G50" i="111"/>
  <c r="G49" i="111"/>
  <c r="G48" i="111"/>
  <c r="G47" i="111"/>
  <c r="G46" i="111"/>
  <c r="G45" i="111"/>
  <c r="G44" i="111"/>
  <c r="G43" i="111"/>
  <c r="G41" i="111"/>
  <c r="G40" i="111"/>
  <c r="G39" i="111"/>
  <c r="G38" i="111"/>
  <c r="G37" i="111"/>
  <c r="G36" i="111"/>
  <c r="G35" i="111"/>
  <c r="G34" i="111"/>
  <c r="G33" i="111"/>
  <c r="G32" i="111"/>
  <c r="G31" i="111"/>
  <c r="G30" i="111"/>
  <c r="G29" i="111"/>
  <c r="G28" i="111"/>
  <c r="G27" i="111"/>
  <c r="G26" i="111"/>
  <c r="G25" i="111"/>
  <c r="G24" i="111"/>
  <c r="G23" i="111"/>
  <c r="G22" i="111"/>
  <c r="G21" i="111"/>
  <c r="G20" i="111"/>
  <c r="G19" i="111"/>
  <c r="G140" i="111"/>
  <c r="G42" i="111"/>
  <c r="G17" i="111" l="1"/>
  <c r="H249" i="102" l="1"/>
  <c r="C50" i="79" s="1"/>
  <c r="C58" i="79" s="1"/>
  <c r="D58" i="79" s="1"/>
  <c r="H248" i="102"/>
  <c r="C49" i="79" l="1"/>
  <c r="C57" i="79" s="1"/>
  <c r="F248" i="102"/>
  <c r="J38" i="107"/>
  <c r="J35" i="107"/>
  <c r="J31" i="107"/>
  <c r="K27" i="107" l="1"/>
  <c r="K20" i="107"/>
  <c r="K14" i="107"/>
  <c r="I32" i="102"/>
  <c r="C22" i="79" s="1"/>
  <c r="I31" i="102"/>
  <c r="C21" i="79" s="1"/>
  <c r="N16" i="103"/>
  <c r="E40" i="110" l="1"/>
  <c r="G114" i="110"/>
  <c r="G113" i="110"/>
  <c r="G112" i="110"/>
  <c r="G111" i="110"/>
  <c r="G110" i="110"/>
  <c r="G103" i="110" l="1"/>
  <c r="G84" i="110"/>
  <c r="G97" i="110" l="1"/>
  <c r="G98" i="110"/>
  <c r="G95" i="110"/>
  <c r="G86" i="110"/>
  <c r="G85" i="110"/>
  <c r="G94" i="110"/>
  <c r="G93" i="110"/>
  <c r="G92" i="110"/>
  <c r="G89" i="110"/>
  <c r="G90" i="110"/>
  <c r="G87" i="110"/>
  <c r="G91" i="110"/>
  <c r="G88" i="110"/>
  <c r="P20" i="103" l="1"/>
  <c r="P18" i="103"/>
  <c r="P24" i="103"/>
  <c r="P23" i="103"/>
  <c r="P19" i="103"/>
  <c r="P21" i="103"/>
  <c r="P22" i="103"/>
  <c r="P25" i="103"/>
  <c r="P26" i="103"/>
  <c r="P17" i="103"/>
  <c r="G20" i="70" l="1"/>
  <c r="G21" i="70"/>
  <c r="G22" i="70"/>
  <c r="G23" i="70"/>
  <c r="G24" i="70"/>
  <c r="G25" i="70"/>
  <c r="G26" i="70"/>
  <c r="G27" i="70"/>
  <c r="G28" i="70"/>
  <c r="G29" i="70"/>
  <c r="G30" i="70"/>
  <c r="G31" i="70"/>
  <c r="G32" i="70"/>
  <c r="G33" i="70"/>
  <c r="G34" i="70"/>
  <c r="G35" i="70"/>
  <c r="G36" i="70"/>
  <c r="G37" i="70"/>
  <c r="G38" i="70"/>
  <c r="G39" i="70"/>
  <c r="G40" i="70"/>
  <c r="G41" i="70"/>
  <c r="G42" i="70"/>
  <c r="G43" i="70"/>
  <c r="G44" i="70"/>
  <c r="G45" i="70"/>
  <c r="G46" i="70"/>
  <c r="G47" i="70"/>
  <c r="G48" i="70"/>
  <c r="G49" i="70"/>
  <c r="G50" i="70"/>
  <c r="G51" i="70"/>
  <c r="G52" i="70"/>
  <c r="G53" i="70"/>
  <c r="G54" i="70"/>
  <c r="G55" i="70"/>
  <c r="G56" i="70"/>
  <c r="G57" i="70"/>
  <c r="G58" i="70"/>
  <c r="G59" i="70"/>
  <c r="G60" i="70"/>
  <c r="G61" i="70"/>
  <c r="G62" i="70"/>
  <c r="G63" i="70"/>
  <c r="G64" i="70"/>
  <c r="G65" i="70"/>
  <c r="G66" i="70"/>
  <c r="G67" i="70"/>
  <c r="G68" i="70"/>
  <c r="G69" i="70"/>
  <c r="G70" i="70"/>
  <c r="G71" i="70"/>
  <c r="G72" i="70"/>
  <c r="G73" i="70"/>
  <c r="G74" i="70"/>
  <c r="G75" i="70"/>
  <c r="G76" i="70"/>
  <c r="G77" i="70"/>
  <c r="G78" i="70"/>
  <c r="G79" i="70"/>
  <c r="G80" i="70"/>
  <c r="G81" i="70"/>
  <c r="G82" i="70"/>
  <c r="G83" i="70"/>
  <c r="G84" i="70"/>
  <c r="G85" i="70"/>
  <c r="G86" i="70"/>
  <c r="G87" i="70"/>
  <c r="G88" i="70"/>
  <c r="G89" i="70"/>
  <c r="G90" i="70"/>
  <c r="G91" i="70"/>
  <c r="G92" i="70"/>
  <c r="G93" i="70"/>
  <c r="G94" i="70"/>
  <c r="G95" i="70"/>
  <c r="G96" i="70"/>
  <c r="G97" i="70"/>
  <c r="G98" i="70"/>
  <c r="G99" i="70"/>
  <c r="G100" i="70"/>
  <c r="G101" i="70"/>
  <c r="G102" i="70"/>
  <c r="G103" i="70"/>
  <c r="G104" i="70"/>
  <c r="G105" i="70"/>
  <c r="G106" i="70"/>
  <c r="G107" i="70"/>
  <c r="G108" i="70"/>
  <c r="G109" i="70"/>
  <c r="G110" i="70"/>
  <c r="G111" i="70"/>
  <c r="G112" i="70"/>
  <c r="G113" i="70"/>
  <c r="G114" i="70"/>
  <c r="G115" i="70"/>
  <c r="G116" i="70"/>
  <c r="G117" i="70"/>
  <c r="G118" i="70"/>
  <c r="G119" i="70"/>
  <c r="G120" i="70"/>
  <c r="G121" i="70"/>
  <c r="G122" i="70"/>
  <c r="G123" i="70"/>
  <c r="G124" i="70"/>
  <c r="G125" i="70"/>
  <c r="G126" i="70"/>
  <c r="G127" i="70"/>
  <c r="G128" i="70"/>
  <c r="G129" i="70"/>
  <c r="G130" i="70"/>
  <c r="G131" i="70"/>
  <c r="G132" i="70"/>
  <c r="G133" i="70"/>
  <c r="G134" i="70"/>
  <c r="G135" i="70"/>
  <c r="G136" i="70"/>
  <c r="G137" i="70"/>
  <c r="G138" i="70"/>
  <c r="G139" i="70"/>
  <c r="G140" i="70"/>
  <c r="G141" i="70"/>
  <c r="G142" i="70"/>
  <c r="G143" i="70"/>
  <c r="G144" i="70"/>
  <c r="G145" i="70"/>
  <c r="G146" i="70"/>
  <c r="G147" i="70"/>
  <c r="G148" i="70"/>
  <c r="G149" i="70"/>
  <c r="G150" i="70"/>
  <c r="G151" i="70"/>
  <c r="G152" i="70"/>
  <c r="G153" i="70"/>
  <c r="G154" i="70"/>
  <c r="G155" i="70"/>
  <c r="G156" i="70"/>
  <c r="G157" i="70"/>
  <c r="G158" i="70"/>
  <c r="G159" i="70"/>
  <c r="G160" i="70"/>
  <c r="G161" i="70"/>
  <c r="G162" i="70"/>
  <c r="G163" i="70"/>
  <c r="G164" i="70"/>
  <c r="G165" i="70"/>
  <c r="G166" i="70"/>
  <c r="G167" i="70"/>
  <c r="G168" i="70"/>
  <c r="G169" i="70"/>
  <c r="G170" i="70"/>
  <c r="G171" i="70"/>
  <c r="G172" i="70"/>
  <c r="G173" i="70"/>
  <c r="G174" i="70"/>
  <c r="G175" i="70"/>
  <c r="G176" i="70"/>
  <c r="G177" i="70"/>
  <c r="G178" i="70"/>
  <c r="G179" i="70"/>
  <c r="G180" i="70"/>
  <c r="G181" i="70"/>
  <c r="G182" i="70"/>
  <c r="G183" i="70"/>
  <c r="G184" i="70"/>
  <c r="G185" i="70"/>
  <c r="G186" i="70"/>
  <c r="G187" i="70"/>
  <c r="G188" i="70"/>
  <c r="G189" i="70"/>
  <c r="G190" i="70"/>
  <c r="G191" i="70"/>
  <c r="G192" i="70"/>
  <c r="G193" i="70"/>
  <c r="G194" i="70"/>
  <c r="G195" i="70"/>
  <c r="G196" i="70"/>
  <c r="G197" i="70"/>
  <c r="G198" i="70"/>
  <c r="G199" i="70"/>
  <c r="G200" i="70"/>
  <c r="G201" i="70"/>
  <c r="G202" i="70"/>
  <c r="G203" i="70"/>
  <c r="G204" i="70"/>
  <c r="G205" i="70"/>
  <c r="G206" i="70"/>
  <c r="G207" i="70"/>
  <c r="G208" i="70"/>
  <c r="G209" i="70"/>
  <c r="G210" i="70"/>
  <c r="G211" i="70"/>
  <c r="G212" i="70"/>
  <c r="G213" i="70"/>
  <c r="G214" i="70"/>
  <c r="G215" i="70"/>
  <c r="G216" i="70"/>
  <c r="G217" i="70"/>
  <c r="G218" i="70"/>
  <c r="G219" i="70"/>
  <c r="G220" i="70"/>
  <c r="G221" i="70"/>
  <c r="G222" i="70"/>
  <c r="G223" i="70"/>
  <c r="G224" i="70"/>
  <c r="G225" i="70"/>
  <c r="G226" i="70"/>
  <c r="G227" i="70"/>
  <c r="G228" i="70"/>
  <c r="G229" i="70"/>
  <c r="G230" i="70"/>
  <c r="G231" i="70"/>
  <c r="G232" i="70"/>
  <c r="G233" i="70"/>
  <c r="G234" i="70"/>
  <c r="G235" i="70"/>
  <c r="G236" i="70"/>
  <c r="G237" i="70"/>
  <c r="G238" i="70"/>
  <c r="G239" i="70"/>
  <c r="G240" i="70"/>
  <c r="G241" i="70"/>
  <c r="G242" i="70"/>
  <c r="G243" i="70"/>
  <c r="G244" i="70"/>
  <c r="G245" i="70"/>
  <c r="G246" i="70"/>
  <c r="G247" i="70"/>
  <c r="G248" i="70"/>
  <c r="G249" i="70"/>
  <c r="G250" i="70"/>
  <c r="G251" i="70"/>
  <c r="G252" i="70"/>
  <c r="G253" i="70"/>
  <c r="G254" i="70"/>
  <c r="G255" i="70"/>
  <c r="G256" i="70"/>
  <c r="G257" i="70"/>
  <c r="G258" i="70"/>
  <c r="G259" i="70"/>
  <c r="G260" i="70"/>
  <c r="G261" i="70"/>
  <c r="G262" i="70"/>
  <c r="G263" i="70"/>
  <c r="G264" i="70"/>
  <c r="G265" i="70"/>
  <c r="G266" i="70"/>
  <c r="G267" i="70"/>
  <c r="G268" i="70"/>
  <c r="G269" i="70"/>
  <c r="G270" i="70"/>
  <c r="G271" i="70"/>
  <c r="G272" i="70"/>
  <c r="G273" i="70"/>
  <c r="G274" i="70"/>
  <c r="G275" i="70"/>
  <c r="G276" i="70"/>
  <c r="G277" i="70"/>
  <c r="G278" i="70"/>
  <c r="G279" i="70"/>
  <c r="G280" i="70"/>
  <c r="G281" i="70"/>
  <c r="G282" i="70"/>
  <c r="G283" i="70"/>
  <c r="G284" i="70"/>
  <c r="G285" i="70"/>
  <c r="G286" i="70"/>
  <c r="G287" i="70"/>
  <c r="G288" i="70"/>
  <c r="G289" i="70"/>
  <c r="G290" i="70"/>
  <c r="G291" i="70"/>
  <c r="G292" i="70"/>
  <c r="G293" i="70"/>
  <c r="G294" i="70"/>
  <c r="G295" i="70"/>
  <c r="G296" i="70"/>
  <c r="G297" i="70"/>
  <c r="G298" i="70"/>
  <c r="G299" i="70"/>
  <c r="G300" i="70"/>
  <c r="G301" i="70"/>
  <c r="G302" i="70"/>
  <c r="G303" i="70"/>
  <c r="G304" i="70"/>
  <c r="G305" i="70"/>
  <c r="G306" i="70"/>
  <c r="G307" i="70"/>
  <c r="G308" i="70"/>
  <c r="G309" i="70"/>
  <c r="G310" i="70"/>
  <c r="G311" i="70"/>
  <c r="G312" i="70"/>
  <c r="G313" i="70"/>
  <c r="G314" i="70"/>
  <c r="G315" i="70"/>
  <c r="G316" i="70"/>
  <c r="G317" i="70"/>
  <c r="G318" i="70"/>
  <c r="G319" i="70"/>
  <c r="G320" i="70"/>
  <c r="G321" i="70"/>
  <c r="G322" i="70"/>
  <c r="G323" i="70"/>
  <c r="G324" i="70"/>
  <c r="G325" i="70"/>
  <c r="G326" i="70"/>
  <c r="G327" i="70"/>
  <c r="G328" i="70"/>
  <c r="G329" i="70"/>
  <c r="G330" i="70"/>
  <c r="G331" i="70"/>
  <c r="G332" i="70"/>
  <c r="G333" i="70"/>
  <c r="G334" i="70"/>
  <c r="G335" i="70"/>
  <c r="G336" i="70"/>
  <c r="G337" i="70"/>
  <c r="G338" i="70"/>
  <c r="G339" i="70"/>
  <c r="G340" i="70"/>
  <c r="G341" i="70"/>
  <c r="G342" i="70"/>
  <c r="G343" i="70"/>
  <c r="G344" i="70"/>
  <c r="G345" i="70"/>
  <c r="G346" i="70"/>
  <c r="G347" i="70"/>
  <c r="G348" i="70"/>
  <c r="G349" i="70"/>
  <c r="G350" i="70"/>
  <c r="G351" i="70"/>
  <c r="G352" i="70"/>
  <c r="G353" i="70"/>
  <c r="G354" i="70"/>
  <c r="G355" i="70"/>
  <c r="G356" i="70"/>
  <c r="G357" i="70"/>
  <c r="G358" i="70"/>
  <c r="G359" i="70"/>
  <c r="G360" i="70"/>
  <c r="G361" i="70"/>
  <c r="G362" i="70"/>
  <c r="G363" i="70"/>
  <c r="G364" i="70"/>
  <c r="G365" i="70"/>
  <c r="G366" i="70"/>
  <c r="G367" i="70"/>
  <c r="G368" i="70"/>
  <c r="G369" i="70"/>
  <c r="G370" i="70"/>
  <c r="G371" i="70"/>
  <c r="G372" i="70"/>
  <c r="G373" i="70"/>
  <c r="G374" i="70"/>
  <c r="G375" i="70"/>
  <c r="G376" i="70"/>
  <c r="G377" i="70"/>
  <c r="G378" i="70"/>
  <c r="G379" i="70"/>
  <c r="G380" i="70"/>
  <c r="G381" i="70"/>
  <c r="G382" i="70"/>
  <c r="G383" i="70"/>
  <c r="G384" i="70"/>
  <c r="G385" i="70"/>
  <c r="G386" i="70"/>
  <c r="G387" i="70"/>
  <c r="G388" i="70"/>
  <c r="G389" i="70"/>
  <c r="G390" i="70"/>
  <c r="G391" i="70"/>
  <c r="G392" i="70"/>
  <c r="G393" i="70"/>
  <c r="G394" i="70"/>
  <c r="G395" i="70"/>
  <c r="G396" i="70"/>
  <c r="G397" i="70"/>
  <c r="G398" i="70"/>
  <c r="G399" i="70"/>
  <c r="G400" i="70"/>
  <c r="G401" i="70"/>
  <c r="G402" i="70"/>
  <c r="G403" i="70"/>
  <c r="G404" i="70"/>
  <c r="G405" i="70"/>
  <c r="G406" i="70"/>
  <c r="G407" i="70"/>
  <c r="G408" i="70"/>
  <c r="G409" i="70"/>
  <c r="G410" i="70"/>
  <c r="G411" i="70"/>
  <c r="E33" i="104" l="1"/>
  <c r="E35" i="104"/>
  <c r="E37" i="104"/>
  <c r="B25" i="104"/>
  <c r="M14" i="104" s="1"/>
  <c r="B26" i="104"/>
  <c r="M15" i="104" s="1"/>
  <c r="B27" i="104"/>
  <c r="M16" i="104" s="1"/>
  <c r="B28" i="104"/>
  <c r="M17" i="104" s="1"/>
  <c r="B29" i="104"/>
  <c r="M18" i="104" s="1"/>
  <c r="B30" i="104"/>
  <c r="M19" i="104" s="1"/>
  <c r="B31" i="104"/>
  <c r="M20" i="104" s="1"/>
  <c r="B32" i="104"/>
  <c r="M21" i="104" s="1"/>
  <c r="B33" i="104"/>
  <c r="B34" i="104"/>
  <c r="M22" i="104" s="1"/>
  <c r="B35" i="104"/>
  <c r="B36" i="104"/>
  <c r="M23" i="104" s="1"/>
  <c r="B37" i="104"/>
  <c r="B38" i="104"/>
  <c r="M24" i="104" s="1"/>
  <c r="B24" i="104"/>
  <c r="M13" i="104" s="1"/>
  <c r="D1" i="108" l="1"/>
  <c r="I38" i="107"/>
  <c r="G38" i="107"/>
  <c r="G35" i="107"/>
  <c r="I31" i="107"/>
  <c r="G31" i="107"/>
  <c r="H26" i="107"/>
  <c r="I26" i="107" s="1"/>
  <c r="H25" i="107"/>
  <c r="H24" i="107"/>
  <c r="I24" i="107" s="1"/>
  <c r="H19" i="107"/>
  <c r="I19" i="107" s="1"/>
  <c r="H18" i="107"/>
  <c r="I18" i="107" s="1"/>
  <c r="H17" i="107"/>
  <c r="H13" i="107"/>
  <c r="I13" i="107" s="1"/>
  <c r="H12" i="107"/>
  <c r="I12" i="107" s="1"/>
  <c r="H11" i="107"/>
  <c r="L14" i="107"/>
  <c r="B2" i="107"/>
  <c r="A2" i="107"/>
  <c r="D1" i="107"/>
  <c r="D1" i="106"/>
  <c r="P654" i="105"/>
  <c r="N654" i="105" s="1"/>
  <c r="P653" i="105"/>
  <c r="N653" i="105" s="1"/>
  <c r="P652" i="105"/>
  <c r="N652" i="105" s="1"/>
  <c r="P651" i="105"/>
  <c r="N651" i="105" s="1"/>
  <c r="P650" i="105"/>
  <c r="N650" i="105" s="1"/>
  <c r="P649" i="105"/>
  <c r="N649" i="105" s="1"/>
  <c r="P648" i="105"/>
  <c r="N648" i="105" s="1"/>
  <c r="P647" i="105"/>
  <c r="N647" i="105" s="1"/>
  <c r="P646" i="105"/>
  <c r="N646" i="105" s="1"/>
  <c r="P645" i="105"/>
  <c r="N645" i="105" s="1"/>
  <c r="P644" i="105"/>
  <c r="N644" i="105" s="1"/>
  <c r="P643" i="105"/>
  <c r="N643" i="105" s="1"/>
  <c r="P642" i="105"/>
  <c r="N642" i="105" s="1"/>
  <c r="P641" i="105"/>
  <c r="N641" i="105" s="1"/>
  <c r="P640" i="105"/>
  <c r="N640" i="105" s="1"/>
  <c r="P639" i="105"/>
  <c r="N639" i="105" s="1"/>
  <c r="P638" i="105"/>
  <c r="N638" i="105" s="1"/>
  <c r="P637" i="105"/>
  <c r="N637" i="105" s="1"/>
  <c r="P636" i="105"/>
  <c r="N636" i="105" s="1"/>
  <c r="P635" i="105"/>
  <c r="N635" i="105" s="1"/>
  <c r="P634" i="105"/>
  <c r="N634" i="105" s="1"/>
  <c r="P633" i="105"/>
  <c r="N633" i="105" s="1"/>
  <c r="P632" i="105"/>
  <c r="N632" i="105" s="1"/>
  <c r="P631" i="105"/>
  <c r="N631" i="105" s="1"/>
  <c r="P630" i="105"/>
  <c r="N630" i="105" s="1"/>
  <c r="P629" i="105"/>
  <c r="N629" i="105" s="1"/>
  <c r="P628" i="105"/>
  <c r="N628" i="105" s="1"/>
  <c r="P627" i="105"/>
  <c r="N627" i="105" s="1"/>
  <c r="P626" i="105"/>
  <c r="N626" i="105" s="1"/>
  <c r="P625" i="105"/>
  <c r="N625" i="105" s="1"/>
  <c r="P624" i="105"/>
  <c r="N624" i="105" s="1"/>
  <c r="P623" i="105"/>
  <c r="N623" i="105" s="1"/>
  <c r="P622" i="105"/>
  <c r="N622" i="105" s="1"/>
  <c r="P621" i="105"/>
  <c r="N621" i="105" s="1"/>
  <c r="P620" i="105"/>
  <c r="N620" i="105" s="1"/>
  <c r="P619" i="105"/>
  <c r="N619" i="105" s="1"/>
  <c r="P618" i="105"/>
  <c r="N618" i="105" s="1"/>
  <c r="P617" i="105"/>
  <c r="N617" i="105" s="1"/>
  <c r="P616" i="105"/>
  <c r="N616" i="105" s="1"/>
  <c r="P615" i="105"/>
  <c r="N615" i="105" s="1"/>
  <c r="P614" i="105"/>
  <c r="N614" i="105" s="1"/>
  <c r="P613" i="105"/>
  <c r="N613" i="105" s="1"/>
  <c r="P612" i="105"/>
  <c r="N612" i="105" s="1"/>
  <c r="P611" i="105"/>
  <c r="N611" i="105" s="1"/>
  <c r="P610" i="105"/>
  <c r="N610" i="105" s="1"/>
  <c r="P609" i="105"/>
  <c r="N609" i="105" s="1"/>
  <c r="P608" i="105"/>
  <c r="N608" i="105" s="1"/>
  <c r="P607" i="105"/>
  <c r="N607" i="105" s="1"/>
  <c r="P606" i="105"/>
  <c r="N606" i="105" s="1"/>
  <c r="P605" i="105"/>
  <c r="N605" i="105" s="1"/>
  <c r="P604" i="105"/>
  <c r="N604" i="105" s="1"/>
  <c r="P603" i="105"/>
  <c r="N603" i="105" s="1"/>
  <c r="P602" i="105"/>
  <c r="N602" i="105" s="1"/>
  <c r="P601" i="105"/>
  <c r="N601" i="105" s="1"/>
  <c r="P600" i="105"/>
  <c r="N600" i="105" s="1"/>
  <c r="P599" i="105"/>
  <c r="N599" i="105" s="1"/>
  <c r="P598" i="105"/>
  <c r="N598" i="105" s="1"/>
  <c r="P597" i="105"/>
  <c r="N597" i="105" s="1"/>
  <c r="P596" i="105"/>
  <c r="N596" i="105" s="1"/>
  <c r="P595" i="105"/>
  <c r="N595" i="105" s="1"/>
  <c r="P594" i="105"/>
  <c r="N594" i="105" s="1"/>
  <c r="P593" i="105"/>
  <c r="N593" i="105" s="1"/>
  <c r="P592" i="105"/>
  <c r="N592" i="105" s="1"/>
  <c r="P591" i="105"/>
  <c r="N591" i="105" s="1"/>
  <c r="P590" i="105"/>
  <c r="N590" i="105" s="1"/>
  <c r="P589" i="105"/>
  <c r="N589" i="105" s="1"/>
  <c r="P588" i="105"/>
  <c r="N588" i="105" s="1"/>
  <c r="P587" i="105"/>
  <c r="N587" i="105" s="1"/>
  <c r="P586" i="105"/>
  <c r="N586" i="105" s="1"/>
  <c r="P585" i="105"/>
  <c r="N585" i="105" s="1"/>
  <c r="P584" i="105"/>
  <c r="N584" i="105" s="1"/>
  <c r="P583" i="105"/>
  <c r="N583" i="105" s="1"/>
  <c r="P582" i="105"/>
  <c r="N582" i="105" s="1"/>
  <c r="P581" i="105"/>
  <c r="N581" i="105" s="1"/>
  <c r="P580" i="105"/>
  <c r="N580" i="105" s="1"/>
  <c r="P579" i="105"/>
  <c r="N579" i="105" s="1"/>
  <c r="P578" i="105"/>
  <c r="N578" i="105" s="1"/>
  <c r="P577" i="105"/>
  <c r="N577" i="105" s="1"/>
  <c r="P576" i="105"/>
  <c r="N576" i="105" s="1"/>
  <c r="P575" i="105"/>
  <c r="N575" i="105" s="1"/>
  <c r="P574" i="105"/>
  <c r="N574" i="105" s="1"/>
  <c r="P573" i="105"/>
  <c r="N573" i="105" s="1"/>
  <c r="P572" i="105"/>
  <c r="N572" i="105" s="1"/>
  <c r="P571" i="105"/>
  <c r="N571" i="105" s="1"/>
  <c r="P570" i="105"/>
  <c r="N570" i="105" s="1"/>
  <c r="P569" i="105"/>
  <c r="N569" i="105" s="1"/>
  <c r="P568" i="105"/>
  <c r="N568" i="105" s="1"/>
  <c r="P567" i="105"/>
  <c r="N567" i="105" s="1"/>
  <c r="P566" i="105"/>
  <c r="N566" i="105" s="1"/>
  <c r="P565" i="105"/>
  <c r="N565" i="105" s="1"/>
  <c r="P564" i="105"/>
  <c r="N564" i="105" s="1"/>
  <c r="P563" i="105"/>
  <c r="N563" i="105" s="1"/>
  <c r="P562" i="105"/>
  <c r="N562" i="105" s="1"/>
  <c r="P561" i="105"/>
  <c r="N561" i="105" s="1"/>
  <c r="P560" i="105"/>
  <c r="N560" i="105" s="1"/>
  <c r="P559" i="105"/>
  <c r="N559" i="105" s="1"/>
  <c r="P558" i="105"/>
  <c r="N558" i="105" s="1"/>
  <c r="P557" i="105"/>
  <c r="N557" i="105" s="1"/>
  <c r="P556" i="105"/>
  <c r="N556" i="105" s="1"/>
  <c r="P555" i="105"/>
  <c r="N555" i="105" s="1"/>
  <c r="P554" i="105"/>
  <c r="N554" i="105" s="1"/>
  <c r="P553" i="105"/>
  <c r="N553" i="105" s="1"/>
  <c r="P552" i="105"/>
  <c r="N552" i="105" s="1"/>
  <c r="P551" i="105"/>
  <c r="N551" i="105" s="1"/>
  <c r="P550" i="105"/>
  <c r="N550" i="105" s="1"/>
  <c r="P549" i="105"/>
  <c r="N549" i="105" s="1"/>
  <c r="P548" i="105"/>
  <c r="N548" i="105" s="1"/>
  <c r="P547" i="105"/>
  <c r="N547" i="105" s="1"/>
  <c r="P546" i="105"/>
  <c r="N546" i="105" s="1"/>
  <c r="P545" i="105"/>
  <c r="N545" i="105" s="1"/>
  <c r="P544" i="105"/>
  <c r="N544" i="105" s="1"/>
  <c r="P543" i="105"/>
  <c r="N543" i="105" s="1"/>
  <c r="P542" i="105"/>
  <c r="N542" i="105" s="1"/>
  <c r="P541" i="105"/>
  <c r="N541" i="105" s="1"/>
  <c r="P540" i="105"/>
  <c r="N540" i="105" s="1"/>
  <c r="P539" i="105"/>
  <c r="N539" i="105" s="1"/>
  <c r="P538" i="105"/>
  <c r="N538" i="105" s="1"/>
  <c r="P537" i="105"/>
  <c r="N537" i="105" s="1"/>
  <c r="P536" i="105"/>
  <c r="N536" i="105" s="1"/>
  <c r="P535" i="105"/>
  <c r="N535" i="105" s="1"/>
  <c r="P534" i="105"/>
  <c r="N534" i="105" s="1"/>
  <c r="P533" i="105"/>
  <c r="N533" i="105" s="1"/>
  <c r="P532" i="105"/>
  <c r="N532" i="105" s="1"/>
  <c r="P531" i="105"/>
  <c r="N531" i="105" s="1"/>
  <c r="P530" i="105"/>
  <c r="N530" i="105" s="1"/>
  <c r="P529" i="105"/>
  <c r="N529" i="105" s="1"/>
  <c r="P528" i="105"/>
  <c r="N528" i="105" s="1"/>
  <c r="P527" i="105"/>
  <c r="N527" i="105" s="1"/>
  <c r="P526" i="105"/>
  <c r="N526" i="105" s="1"/>
  <c r="P525" i="105"/>
  <c r="N525" i="105" s="1"/>
  <c r="P524" i="105"/>
  <c r="N524" i="105" s="1"/>
  <c r="P523" i="105"/>
  <c r="N523" i="105" s="1"/>
  <c r="P522" i="105"/>
  <c r="N522" i="105" s="1"/>
  <c r="P521" i="105"/>
  <c r="N521" i="105" s="1"/>
  <c r="P520" i="105"/>
  <c r="N520" i="105" s="1"/>
  <c r="P519" i="105"/>
  <c r="N519" i="105" s="1"/>
  <c r="P518" i="105"/>
  <c r="N518" i="105" s="1"/>
  <c r="P517" i="105"/>
  <c r="N517" i="105" s="1"/>
  <c r="P516" i="105"/>
  <c r="N516" i="105" s="1"/>
  <c r="P515" i="105"/>
  <c r="N515" i="105" s="1"/>
  <c r="P514" i="105"/>
  <c r="N514" i="105" s="1"/>
  <c r="P513" i="105"/>
  <c r="N513" i="105" s="1"/>
  <c r="P512" i="105"/>
  <c r="N512" i="105" s="1"/>
  <c r="P511" i="105"/>
  <c r="N511" i="105" s="1"/>
  <c r="P510" i="105"/>
  <c r="N510" i="105" s="1"/>
  <c r="P509" i="105"/>
  <c r="N509" i="105" s="1"/>
  <c r="P508" i="105"/>
  <c r="N508" i="105" s="1"/>
  <c r="P507" i="105"/>
  <c r="N507" i="105" s="1"/>
  <c r="P506" i="105"/>
  <c r="N506" i="105" s="1"/>
  <c r="P505" i="105"/>
  <c r="N505" i="105" s="1"/>
  <c r="P504" i="105"/>
  <c r="N504" i="105" s="1"/>
  <c r="P503" i="105"/>
  <c r="N503" i="105" s="1"/>
  <c r="P502" i="105"/>
  <c r="N502" i="105" s="1"/>
  <c r="P501" i="105"/>
  <c r="N501" i="105" s="1"/>
  <c r="P500" i="105"/>
  <c r="N500" i="105" s="1"/>
  <c r="P499" i="105"/>
  <c r="N499" i="105" s="1"/>
  <c r="P498" i="105"/>
  <c r="N498" i="105" s="1"/>
  <c r="P497" i="105"/>
  <c r="N497" i="105" s="1"/>
  <c r="P496" i="105"/>
  <c r="N496" i="105" s="1"/>
  <c r="P495" i="105"/>
  <c r="N495" i="105" s="1"/>
  <c r="P494" i="105"/>
  <c r="N494" i="105" s="1"/>
  <c r="P493" i="105"/>
  <c r="N493" i="105" s="1"/>
  <c r="P492" i="105"/>
  <c r="N492" i="105" s="1"/>
  <c r="P491" i="105"/>
  <c r="N491" i="105" s="1"/>
  <c r="P490" i="105"/>
  <c r="N490" i="105" s="1"/>
  <c r="P489" i="105"/>
  <c r="N489" i="105" s="1"/>
  <c r="P488" i="105"/>
  <c r="N488" i="105" s="1"/>
  <c r="P487" i="105"/>
  <c r="N487" i="105" s="1"/>
  <c r="P486" i="105"/>
  <c r="N486" i="105" s="1"/>
  <c r="P485" i="105"/>
  <c r="N485" i="105" s="1"/>
  <c r="P484" i="105"/>
  <c r="N484" i="105" s="1"/>
  <c r="P483" i="105"/>
  <c r="N483" i="105" s="1"/>
  <c r="P482" i="105"/>
  <c r="N482" i="105" s="1"/>
  <c r="P481" i="105"/>
  <c r="N481" i="105" s="1"/>
  <c r="P480" i="105"/>
  <c r="N480" i="105" s="1"/>
  <c r="P479" i="105"/>
  <c r="N479" i="105" s="1"/>
  <c r="P478" i="105"/>
  <c r="N478" i="105" s="1"/>
  <c r="P477" i="105"/>
  <c r="N477" i="105" s="1"/>
  <c r="P476" i="105"/>
  <c r="N476" i="105" s="1"/>
  <c r="P475" i="105"/>
  <c r="N475" i="105" s="1"/>
  <c r="P474" i="105"/>
  <c r="N474" i="105" s="1"/>
  <c r="P473" i="105"/>
  <c r="N473" i="105" s="1"/>
  <c r="P472" i="105"/>
  <c r="N472" i="105" s="1"/>
  <c r="P471" i="105"/>
  <c r="N471" i="105" s="1"/>
  <c r="P470" i="105"/>
  <c r="N470" i="105" s="1"/>
  <c r="P469" i="105"/>
  <c r="N469" i="105" s="1"/>
  <c r="P468" i="105"/>
  <c r="N468" i="105" s="1"/>
  <c r="P467" i="105"/>
  <c r="N467" i="105" s="1"/>
  <c r="P466" i="105"/>
  <c r="N466" i="105" s="1"/>
  <c r="P465" i="105"/>
  <c r="N465" i="105" s="1"/>
  <c r="P464" i="105"/>
  <c r="N464" i="105" s="1"/>
  <c r="P463" i="105"/>
  <c r="N463" i="105" s="1"/>
  <c r="P462" i="105"/>
  <c r="N462" i="105" s="1"/>
  <c r="P461" i="105"/>
  <c r="N461" i="105" s="1"/>
  <c r="P460" i="105"/>
  <c r="N460" i="105" s="1"/>
  <c r="P459" i="105"/>
  <c r="N459" i="105" s="1"/>
  <c r="P458" i="105"/>
  <c r="N458" i="105" s="1"/>
  <c r="P457" i="105"/>
  <c r="N457" i="105" s="1"/>
  <c r="P456" i="105"/>
  <c r="N456" i="105" s="1"/>
  <c r="P455" i="105"/>
  <c r="N455" i="105" s="1"/>
  <c r="P454" i="105"/>
  <c r="N454" i="105" s="1"/>
  <c r="P453" i="105"/>
  <c r="N453" i="105" s="1"/>
  <c r="P452" i="105"/>
  <c r="N452" i="105" s="1"/>
  <c r="P451" i="105"/>
  <c r="N451" i="105" s="1"/>
  <c r="P450" i="105"/>
  <c r="N450" i="105" s="1"/>
  <c r="P449" i="105"/>
  <c r="N449" i="105" s="1"/>
  <c r="P448" i="105"/>
  <c r="N448" i="105" s="1"/>
  <c r="P447" i="105"/>
  <c r="N447" i="105" s="1"/>
  <c r="P446" i="105"/>
  <c r="N446" i="105" s="1"/>
  <c r="P445" i="105"/>
  <c r="N445" i="105" s="1"/>
  <c r="P444" i="105"/>
  <c r="N444" i="105" s="1"/>
  <c r="P443" i="105"/>
  <c r="N443" i="105" s="1"/>
  <c r="P442" i="105"/>
  <c r="N442" i="105" s="1"/>
  <c r="P441" i="105"/>
  <c r="N441" i="105" s="1"/>
  <c r="P440" i="105"/>
  <c r="N440" i="105" s="1"/>
  <c r="P439" i="105"/>
  <c r="N439" i="105" s="1"/>
  <c r="P438" i="105"/>
  <c r="N438" i="105" s="1"/>
  <c r="P437" i="105"/>
  <c r="N437" i="105" s="1"/>
  <c r="P436" i="105"/>
  <c r="N436" i="105" s="1"/>
  <c r="P435" i="105"/>
  <c r="N435" i="105" s="1"/>
  <c r="P434" i="105"/>
  <c r="N434" i="105" s="1"/>
  <c r="P433" i="105"/>
  <c r="N433" i="105" s="1"/>
  <c r="P432" i="105"/>
  <c r="N432" i="105" s="1"/>
  <c r="P431" i="105"/>
  <c r="N431" i="105" s="1"/>
  <c r="P430" i="105"/>
  <c r="N430" i="105" s="1"/>
  <c r="P429" i="105"/>
  <c r="N429" i="105" s="1"/>
  <c r="P428" i="105"/>
  <c r="N428" i="105" s="1"/>
  <c r="P427" i="105"/>
  <c r="N427" i="105" s="1"/>
  <c r="P426" i="105"/>
  <c r="N426" i="105" s="1"/>
  <c r="P425" i="105"/>
  <c r="N425" i="105" s="1"/>
  <c r="P424" i="105"/>
  <c r="N424" i="105" s="1"/>
  <c r="P423" i="105"/>
  <c r="N423" i="105" s="1"/>
  <c r="P422" i="105"/>
  <c r="N422" i="105" s="1"/>
  <c r="P421" i="105"/>
  <c r="N421" i="105" s="1"/>
  <c r="P420" i="105"/>
  <c r="N420" i="105" s="1"/>
  <c r="P419" i="105"/>
  <c r="N419" i="105" s="1"/>
  <c r="P418" i="105"/>
  <c r="N418" i="105" s="1"/>
  <c r="P417" i="105"/>
  <c r="N417" i="105" s="1"/>
  <c r="P416" i="105"/>
  <c r="N416" i="105" s="1"/>
  <c r="P415" i="105"/>
  <c r="N415" i="105" s="1"/>
  <c r="P414" i="105"/>
  <c r="N414" i="105" s="1"/>
  <c r="P413" i="105"/>
  <c r="N413" i="105" s="1"/>
  <c r="P412" i="105"/>
  <c r="N412" i="105" s="1"/>
  <c r="P411" i="105"/>
  <c r="N411" i="105" s="1"/>
  <c r="P410" i="105"/>
  <c r="N410" i="105" s="1"/>
  <c r="P409" i="105"/>
  <c r="N409" i="105" s="1"/>
  <c r="P408" i="105"/>
  <c r="N408" i="105" s="1"/>
  <c r="P407" i="105"/>
  <c r="N407" i="105" s="1"/>
  <c r="P406" i="105"/>
  <c r="N406" i="105" s="1"/>
  <c r="P405" i="105"/>
  <c r="N405" i="105" s="1"/>
  <c r="P404" i="105"/>
  <c r="N404" i="105" s="1"/>
  <c r="P403" i="105"/>
  <c r="N403" i="105" s="1"/>
  <c r="P402" i="105"/>
  <c r="N402" i="105" s="1"/>
  <c r="P401" i="105"/>
  <c r="N401" i="105" s="1"/>
  <c r="P400" i="105"/>
  <c r="N400" i="105" s="1"/>
  <c r="P399" i="105"/>
  <c r="N399" i="105" s="1"/>
  <c r="P398" i="105"/>
  <c r="N398" i="105" s="1"/>
  <c r="P397" i="105"/>
  <c r="N397" i="105" s="1"/>
  <c r="P396" i="105"/>
  <c r="N396" i="105" s="1"/>
  <c r="P395" i="105"/>
  <c r="N395" i="105" s="1"/>
  <c r="P394" i="105"/>
  <c r="N394" i="105" s="1"/>
  <c r="P393" i="105"/>
  <c r="N393" i="105" s="1"/>
  <c r="P392" i="105"/>
  <c r="N392" i="105" s="1"/>
  <c r="P391" i="105"/>
  <c r="N391" i="105" s="1"/>
  <c r="P390" i="105"/>
  <c r="N390" i="105" s="1"/>
  <c r="P389" i="105"/>
  <c r="N389" i="105" s="1"/>
  <c r="P388" i="105"/>
  <c r="N388" i="105" s="1"/>
  <c r="P387" i="105"/>
  <c r="N387" i="105" s="1"/>
  <c r="P386" i="105"/>
  <c r="N386" i="105" s="1"/>
  <c r="P385" i="105"/>
  <c r="N385" i="105" s="1"/>
  <c r="P384" i="105"/>
  <c r="N384" i="105" s="1"/>
  <c r="P383" i="105"/>
  <c r="N383" i="105" s="1"/>
  <c r="P382" i="105"/>
  <c r="N382" i="105" s="1"/>
  <c r="P381" i="105"/>
  <c r="N381" i="105" s="1"/>
  <c r="P380" i="105"/>
  <c r="N380" i="105" s="1"/>
  <c r="P379" i="105"/>
  <c r="N379" i="105" s="1"/>
  <c r="P378" i="105"/>
  <c r="N378" i="105" s="1"/>
  <c r="P377" i="105"/>
  <c r="N377" i="105" s="1"/>
  <c r="P376" i="105"/>
  <c r="N376" i="105" s="1"/>
  <c r="P375" i="105"/>
  <c r="N375" i="105" s="1"/>
  <c r="P374" i="105"/>
  <c r="N374" i="105" s="1"/>
  <c r="P373" i="105"/>
  <c r="N373" i="105" s="1"/>
  <c r="P372" i="105"/>
  <c r="N372" i="105" s="1"/>
  <c r="P371" i="105"/>
  <c r="N371" i="105" s="1"/>
  <c r="P370" i="105"/>
  <c r="N370" i="105" s="1"/>
  <c r="P369" i="105"/>
  <c r="N369" i="105" s="1"/>
  <c r="P368" i="105"/>
  <c r="N368" i="105" s="1"/>
  <c r="P367" i="105"/>
  <c r="N367" i="105" s="1"/>
  <c r="P366" i="105"/>
  <c r="N366" i="105" s="1"/>
  <c r="P365" i="105"/>
  <c r="N365" i="105" s="1"/>
  <c r="P364" i="105"/>
  <c r="N364" i="105" s="1"/>
  <c r="P363" i="105"/>
  <c r="N363" i="105" s="1"/>
  <c r="P362" i="105"/>
  <c r="N362" i="105" s="1"/>
  <c r="P361" i="105"/>
  <c r="N361" i="105" s="1"/>
  <c r="P360" i="105"/>
  <c r="N360" i="105" s="1"/>
  <c r="P359" i="105"/>
  <c r="N359" i="105" s="1"/>
  <c r="P358" i="105"/>
  <c r="N358" i="105" s="1"/>
  <c r="P357" i="105"/>
  <c r="N357" i="105" s="1"/>
  <c r="P356" i="105"/>
  <c r="N356" i="105" s="1"/>
  <c r="P355" i="105"/>
  <c r="N355" i="105" s="1"/>
  <c r="P354" i="105"/>
  <c r="N354" i="105" s="1"/>
  <c r="P353" i="105"/>
  <c r="N353" i="105" s="1"/>
  <c r="P352" i="105"/>
  <c r="N352" i="105" s="1"/>
  <c r="P351" i="105"/>
  <c r="N351" i="105" s="1"/>
  <c r="P350" i="105"/>
  <c r="N350" i="105" s="1"/>
  <c r="P349" i="105"/>
  <c r="N349" i="105" s="1"/>
  <c r="P348" i="105"/>
  <c r="N348" i="105" s="1"/>
  <c r="P347" i="105"/>
  <c r="N347" i="105" s="1"/>
  <c r="P346" i="105"/>
  <c r="N346" i="105" s="1"/>
  <c r="P345" i="105"/>
  <c r="N345" i="105" s="1"/>
  <c r="P344" i="105"/>
  <c r="N344" i="105" s="1"/>
  <c r="P343" i="105"/>
  <c r="N343" i="105" s="1"/>
  <c r="P342" i="105"/>
  <c r="N342" i="105" s="1"/>
  <c r="P341" i="105"/>
  <c r="N341" i="105" s="1"/>
  <c r="P340" i="105"/>
  <c r="N340" i="105" s="1"/>
  <c r="P339" i="105"/>
  <c r="N339" i="105" s="1"/>
  <c r="P338" i="105"/>
  <c r="N338" i="105" s="1"/>
  <c r="P337" i="105"/>
  <c r="N337" i="105" s="1"/>
  <c r="P336" i="105"/>
  <c r="N336" i="105" s="1"/>
  <c r="P335" i="105"/>
  <c r="N335" i="105" s="1"/>
  <c r="P334" i="105"/>
  <c r="N334" i="105" s="1"/>
  <c r="P333" i="105"/>
  <c r="N333" i="105" s="1"/>
  <c r="P332" i="105"/>
  <c r="N332" i="105" s="1"/>
  <c r="P331" i="105"/>
  <c r="N331" i="105" s="1"/>
  <c r="P330" i="105"/>
  <c r="N330" i="105" s="1"/>
  <c r="P329" i="105"/>
  <c r="N329" i="105" s="1"/>
  <c r="P328" i="105"/>
  <c r="N328" i="105" s="1"/>
  <c r="P327" i="105"/>
  <c r="N327" i="105" s="1"/>
  <c r="P326" i="105"/>
  <c r="N326" i="105" s="1"/>
  <c r="P325" i="105"/>
  <c r="N325" i="105" s="1"/>
  <c r="P324" i="105"/>
  <c r="N324" i="105" s="1"/>
  <c r="P323" i="105"/>
  <c r="N323" i="105" s="1"/>
  <c r="P322" i="105"/>
  <c r="N322" i="105" s="1"/>
  <c r="P321" i="105"/>
  <c r="N321" i="105" s="1"/>
  <c r="P320" i="105"/>
  <c r="N320" i="105" s="1"/>
  <c r="P319" i="105"/>
  <c r="N319" i="105" s="1"/>
  <c r="P318" i="105"/>
  <c r="N318" i="105" s="1"/>
  <c r="P317" i="105"/>
  <c r="N317" i="105" s="1"/>
  <c r="P316" i="105"/>
  <c r="N316" i="105" s="1"/>
  <c r="P315" i="105"/>
  <c r="N315" i="105" s="1"/>
  <c r="P314" i="105"/>
  <c r="N314" i="105" s="1"/>
  <c r="P313" i="105"/>
  <c r="N313" i="105" s="1"/>
  <c r="P312" i="105"/>
  <c r="N312" i="105" s="1"/>
  <c r="P311" i="105"/>
  <c r="N311" i="105" s="1"/>
  <c r="P310" i="105"/>
  <c r="N310" i="105" s="1"/>
  <c r="P309" i="105"/>
  <c r="N309" i="105" s="1"/>
  <c r="P308" i="105"/>
  <c r="N308" i="105" s="1"/>
  <c r="P307" i="105"/>
  <c r="N307" i="105" s="1"/>
  <c r="P306" i="105"/>
  <c r="N306" i="105" s="1"/>
  <c r="P305" i="105"/>
  <c r="N305" i="105" s="1"/>
  <c r="P304" i="105"/>
  <c r="N304" i="105" s="1"/>
  <c r="P303" i="105"/>
  <c r="N303" i="105" s="1"/>
  <c r="P302" i="105"/>
  <c r="N302" i="105" s="1"/>
  <c r="P301" i="105"/>
  <c r="N301" i="105" s="1"/>
  <c r="P300" i="105"/>
  <c r="N300" i="105" s="1"/>
  <c r="P299" i="105"/>
  <c r="N299" i="105" s="1"/>
  <c r="P298" i="105"/>
  <c r="N298" i="105" s="1"/>
  <c r="P297" i="105"/>
  <c r="N297" i="105" s="1"/>
  <c r="P296" i="105"/>
  <c r="N296" i="105" s="1"/>
  <c r="P295" i="105"/>
  <c r="N295" i="105" s="1"/>
  <c r="P294" i="105"/>
  <c r="N294" i="105" s="1"/>
  <c r="P293" i="105"/>
  <c r="N293" i="105" s="1"/>
  <c r="P292" i="105"/>
  <c r="N292" i="105" s="1"/>
  <c r="P291" i="105"/>
  <c r="N291" i="105" s="1"/>
  <c r="P290" i="105"/>
  <c r="N290" i="105" s="1"/>
  <c r="P289" i="105"/>
  <c r="N289" i="105" s="1"/>
  <c r="P288" i="105"/>
  <c r="N288" i="105" s="1"/>
  <c r="P287" i="105"/>
  <c r="N287" i="105" s="1"/>
  <c r="P286" i="105"/>
  <c r="N286" i="105" s="1"/>
  <c r="P285" i="105"/>
  <c r="N285" i="105" s="1"/>
  <c r="P284" i="105"/>
  <c r="N284" i="105" s="1"/>
  <c r="P283" i="105"/>
  <c r="N283" i="105" s="1"/>
  <c r="P282" i="105"/>
  <c r="N282" i="105" s="1"/>
  <c r="P281" i="105"/>
  <c r="N281" i="105" s="1"/>
  <c r="P280" i="105"/>
  <c r="N280" i="105" s="1"/>
  <c r="P279" i="105"/>
  <c r="N279" i="105" s="1"/>
  <c r="P278" i="105"/>
  <c r="N278" i="105" s="1"/>
  <c r="P277" i="105"/>
  <c r="N277" i="105" s="1"/>
  <c r="P276" i="105"/>
  <c r="N276" i="105" s="1"/>
  <c r="P275" i="105"/>
  <c r="N275" i="105" s="1"/>
  <c r="P274" i="105"/>
  <c r="N274" i="105" s="1"/>
  <c r="P273" i="105"/>
  <c r="N273" i="105" s="1"/>
  <c r="P272" i="105"/>
  <c r="N272" i="105" s="1"/>
  <c r="P271" i="105"/>
  <c r="N271" i="105" s="1"/>
  <c r="P270" i="105"/>
  <c r="N270" i="105" s="1"/>
  <c r="P269" i="105"/>
  <c r="N269" i="105" s="1"/>
  <c r="P268" i="105"/>
  <c r="N268" i="105" s="1"/>
  <c r="P267" i="105"/>
  <c r="N267" i="105" s="1"/>
  <c r="P266" i="105"/>
  <c r="N266" i="105" s="1"/>
  <c r="P265" i="105"/>
  <c r="N265" i="105" s="1"/>
  <c r="P264" i="105"/>
  <c r="N264" i="105" s="1"/>
  <c r="P263" i="105"/>
  <c r="N263" i="105" s="1"/>
  <c r="P262" i="105"/>
  <c r="N262" i="105" s="1"/>
  <c r="P261" i="105"/>
  <c r="N261" i="105" s="1"/>
  <c r="P260" i="105"/>
  <c r="N260" i="105" s="1"/>
  <c r="P259" i="105"/>
  <c r="N259" i="105" s="1"/>
  <c r="P258" i="105"/>
  <c r="N258" i="105" s="1"/>
  <c r="P257" i="105"/>
  <c r="N257" i="105" s="1"/>
  <c r="P256" i="105"/>
  <c r="N256" i="105" s="1"/>
  <c r="P255" i="105"/>
  <c r="N255" i="105" s="1"/>
  <c r="P254" i="105"/>
  <c r="N254" i="105" s="1"/>
  <c r="P253" i="105"/>
  <c r="N253" i="105" s="1"/>
  <c r="P252" i="105"/>
  <c r="N252" i="105" s="1"/>
  <c r="P251" i="105"/>
  <c r="N251" i="105" s="1"/>
  <c r="P250" i="105"/>
  <c r="N250" i="105" s="1"/>
  <c r="P249" i="105"/>
  <c r="N249" i="105" s="1"/>
  <c r="P248" i="105"/>
  <c r="N248" i="105" s="1"/>
  <c r="P247" i="105"/>
  <c r="N247" i="105" s="1"/>
  <c r="P246" i="105"/>
  <c r="N246" i="105" s="1"/>
  <c r="P245" i="105"/>
  <c r="N245" i="105" s="1"/>
  <c r="P244" i="105"/>
  <c r="N244" i="105" s="1"/>
  <c r="P243" i="105"/>
  <c r="N243" i="105" s="1"/>
  <c r="P242" i="105"/>
  <c r="N242" i="105" s="1"/>
  <c r="P241" i="105"/>
  <c r="N241" i="105" s="1"/>
  <c r="P240" i="105"/>
  <c r="N240" i="105" s="1"/>
  <c r="P239" i="105"/>
  <c r="N239" i="105" s="1"/>
  <c r="P238" i="105"/>
  <c r="N238" i="105" s="1"/>
  <c r="P237" i="105"/>
  <c r="N237" i="105" s="1"/>
  <c r="P236" i="105"/>
  <c r="N236" i="105" s="1"/>
  <c r="P235" i="105"/>
  <c r="N235" i="105" s="1"/>
  <c r="P234" i="105"/>
  <c r="N234" i="105" s="1"/>
  <c r="P233" i="105"/>
  <c r="N233" i="105" s="1"/>
  <c r="P232" i="105"/>
  <c r="N232" i="105" s="1"/>
  <c r="P231" i="105"/>
  <c r="N231" i="105" s="1"/>
  <c r="P230" i="105"/>
  <c r="N230" i="105" s="1"/>
  <c r="P229" i="105"/>
  <c r="N229" i="105" s="1"/>
  <c r="P228" i="105"/>
  <c r="N228" i="105" s="1"/>
  <c r="P227" i="105"/>
  <c r="N227" i="105" s="1"/>
  <c r="P226" i="105"/>
  <c r="N226" i="105" s="1"/>
  <c r="P225" i="105"/>
  <c r="N225" i="105" s="1"/>
  <c r="P224" i="105"/>
  <c r="N224" i="105" s="1"/>
  <c r="P223" i="105"/>
  <c r="N223" i="105" s="1"/>
  <c r="P222" i="105"/>
  <c r="N222" i="105" s="1"/>
  <c r="P221" i="105"/>
  <c r="N221" i="105" s="1"/>
  <c r="P220" i="105"/>
  <c r="N220" i="105" s="1"/>
  <c r="P219" i="105"/>
  <c r="N219" i="105" s="1"/>
  <c r="P218" i="105"/>
  <c r="N218" i="105" s="1"/>
  <c r="P217" i="105"/>
  <c r="N217" i="105" s="1"/>
  <c r="P216" i="105"/>
  <c r="N216" i="105" s="1"/>
  <c r="P215" i="105"/>
  <c r="N215" i="105" s="1"/>
  <c r="P214" i="105"/>
  <c r="N214" i="105" s="1"/>
  <c r="P213" i="105"/>
  <c r="N213" i="105" s="1"/>
  <c r="P212" i="105"/>
  <c r="N212" i="105" s="1"/>
  <c r="P211" i="105"/>
  <c r="N211" i="105" s="1"/>
  <c r="P210" i="105"/>
  <c r="N210" i="105" s="1"/>
  <c r="P209" i="105"/>
  <c r="N209" i="105" s="1"/>
  <c r="P208" i="105"/>
  <c r="N208" i="105" s="1"/>
  <c r="P207" i="105"/>
  <c r="N207" i="105" s="1"/>
  <c r="P206" i="105"/>
  <c r="N206" i="105" s="1"/>
  <c r="P205" i="105"/>
  <c r="N205" i="105" s="1"/>
  <c r="P204" i="105"/>
  <c r="N204" i="105" s="1"/>
  <c r="P203" i="105"/>
  <c r="N203" i="105" s="1"/>
  <c r="P202" i="105"/>
  <c r="N202" i="105" s="1"/>
  <c r="P201" i="105"/>
  <c r="N201" i="105" s="1"/>
  <c r="P200" i="105"/>
  <c r="N200" i="105" s="1"/>
  <c r="P199" i="105"/>
  <c r="N199" i="105" s="1"/>
  <c r="P198" i="105"/>
  <c r="N198" i="105" s="1"/>
  <c r="P197" i="105"/>
  <c r="N197" i="105" s="1"/>
  <c r="P196" i="105"/>
  <c r="N196" i="105" s="1"/>
  <c r="P195" i="105"/>
  <c r="N195" i="105" s="1"/>
  <c r="P194" i="105"/>
  <c r="N194" i="105" s="1"/>
  <c r="P193" i="105"/>
  <c r="N193" i="105" s="1"/>
  <c r="P192" i="105"/>
  <c r="N192" i="105" s="1"/>
  <c r="P191" i="105"/>
  <c r="N191" i="105" s="1"/>
  <c r="P190" i="105"/>
  <c r="N190" i="105" s="1"/>
  <c r="P189" i="105"/>
  <c r="N189" i="105" s="1"/>
  <c r="P188" i="105"/>
  <c r="N188" i="105" s="1"/>
  <c r="P187" i="105"/>
  <c r="N187" i="105" s="1"/>
  <c r="P186" i="105"/>
  <c r="N186" i="105" s="1"/>
  <c r="P185" i="105"/>
  <c r="N185" i="105" s="1"/>
  <c r="P184" i="105"/>
  <c r="N184" i="105" s="1"/>
  <c r="P183" i="105"/>
  <c r="N183" i="105" s="1"/>
  <c r="P182" i="105"/>
  <c r="N182" i="105" s="1"/>
  <c r="P181" i="105"/>
  <c r="N181" i="105" s="1"/>
  <c r="P180" i="105"/>
  <c r="N180" i="105" s="1"/>
  <c r="P179" i="105"/>
  <c r="N179" i="105" s="1"/>
  <c r="P178" i="105"/>
  <c r="N178" i="105" s="1"/>
  <c r="P177" i="105"/>
  <c r="N177" i="105" s="1"/>
  <c r="P176" i="105"/>
  <c r="N176" i="105" s="1"/>
  <c r="P175" i="105"/>
  <c r="N175" i="105" s="1"/>
  <c r="P174" i="105"/>
  <c r="N174" i="105" s="1"/>
  <c r="P173" i="105"/>
  <c r="N173" i="105" s="1"/>
  <c r="P172" i="105"/>
  <c r="N172" i="105" s="1"/>
  <c r="P171" i="105"/>
  <c r="N171" i="105" s="1"/>
  <c r="P170" i="105"/>
  <c r="N170" i="105" s="1"/>
  <c r="P169" i="105"/>
  <c r="N169" i="105" s="1"/>
  <c r="P168" i="105"/>
  <c r="N168" i="105" s="1"/>
  <c r="P167" i="105"/>
  <c r="N167" i="105" s="1"/>
  <c r="P166" i="105"/>
  <c r="N166" i="105" s="1"/>
  <c r="P165" i="105"/>
  <c r="N165" i="105" s="1"/>
  <c r="P164" i="105"/>
  <c r="N164" i="105" s="1"/>
  <c r="P163" i="105"/>
  <c r="N163" i="105" s="1"/>
  <c r="P162" i="105"/>
  <c r="N162" i="105" s="1"/>
  <c r="P161" i="105"/>
  <c r="N161" i="105" s="1"/>
  <c r="P160" i="105"/>
  <c r="N160" i="105" s="1"/>
  <c r="P159" i="105"/>
  <c r="N159" i="105" s="1"/>
  <c r="P158" i="105"/>
  <c r="N158" i="105" s="1"/>
  <c r="P157" i="105"/>
  <c r="N157" i="105" s="1"/>
  <c r="P156" i="105"/>
  <c r="N156" i="105" s="1"/>
  <c r="P155" i="105"/>
  <c r="N155" i="105" s="1"/>
  <c r="P154" i="105"/>
  <c r="N154" i="105" s="1"/>
  <c r="P153" i="105"/>
  <c r="N153" i="105" s="1"/>
  <c r="P152" i="105"/>
  <c r="N152" i="105" s="1"/>
  <c r="P151" i="105"/>
  <c r="N151" i="105" s="1"/>
  <c r="P150" i="105"/>
  <c r="N150" i="105" s="1"/>
  <c r="P149" i="105"/>
  <c r="N149" i="105" s="1"/>
  <c r="P148" i="105"/>
  <c r="N148" i="105" s="1"/>
  <c r="P147" i="105"/>
  <c r="N147" i="105" s="1"/>
  <c r="P146" i="105"/>
  <c r="N146" i="105" s="1"/>
  <c r="P145" i="105"/>
  <c r="N145" i="105" s="1"/>
  <c r="P144" i="105"/>
  <c r="N144" i="105" s="1"/>
  <c r="P143" i="105"/>
  <c r="N143" i="105" s="1"/>
  <c r="P142" i="105"/>
  <c r="N142" i="105" s="1"/>
  <c r="P141" i="105"/>
  <c r="N141" i="105" s="1"/>
  <c r="P140" i="105"/>
  <c r="N140" i="105" s="1"/>
  <c r="P139" i="105"/>
  <c r="N139" i="105" s="1"/>
  <c r="P138" i="105"/>
  <c r="N138" i="105" s="1"/>
  <c r="P137" i="105"/>
  <c r="N137" i="105" s="1"/>
  <c r="P136" i="105"/>
  <c r="N136" i="105" s="1"/>
  <c r="P135" i="105"/>
  <c r="N135" i="105" s="1"/>
  <c r="P134" i="105"/>
  <c r="N134" i="105" s="1"/>
  <c r="P133" i="105"/>
  <c r="N133" i="105" s="1"/>
  <c r="P132" i="105"/>
  <c r="N132" i="105" s="1"/>
  <c r="P131" i="105"/>
  <c r="N131" i="105" s="1"/>
  <c r="P130" i="105"/>
  <c r="N130" i="105" s="1"/>
  <c r="P129" i="105"/>
  <c r="N129" i="105" s="1"/>
  <c r="P128" i="105"/>
  <c r="N128" i="105" s="1"/>
  <c r="P127" i="105"/>
  <c r="N127" i="105" s="1"/>
  <c r="P126" i="105"/>
  <c r="N126" i="105" s="1"/>
  <c r="P125" i="105"/>
  <c r="N125" i="105" s="1"/>
  <c r="P124" i="105"/>
  <c r="N124" i="105" s="1"/>
  <c r="P123" i="105"/>
  <c r="N123" i="105" s="1"/>
  <c r="P122" i="105"/>
  <c r="N122" i="105" s="1"/>
  <c r="P121" i="105"/>
  <c r="N121" i="105" s="1"/>
  <c r="P120" i="105"/>
  <c r="N120" i="105" s="1"/>
  <c r="P119" i="105"/>
  <c r="N119" i="105" s="1"/>
  <c r="P118" i="105"/>
  <c r="N118" i="105" s="1"/>
  <c r="P117" i="105"/>
  <c r="N117" i="105" s="1"/>
  <c r="P116" i="105"/>
  <c r="N116" i="105" s="1"/>
  <c r="P115" i="105"/>
  <c r="N115" i="105" s="1"/>
  <c r="P114" i="105"/>
  <c r="N114" i="105" s="1"/>
  <c r="P113" i="105"/>
  <c r="N113" i="105" s="1"/>
  <c r="P112" i="105"/>
  <c r="N112" i="105" s="1"/>
  <c r="P111" i="105"/>
  <c r="N111" i="105" s="1"/>
  <c r="P110" i="105"/>
  <c r="N110" i="105" s="1"/>
  <c r="P109" i="105"/>
  <c r="N109" i="105" s="1"/>
  <c r="P108" i="105"/>
  <c r="N108" i="105" s="1"/>
  <c r="P107" i="105"/>
  <c r="N107" i="105" s="1"/>
  <c r="P106" i="105"/>
  <c r="N106" i="105" s="1"/>
  <c r="P105" i="105"/>
  <c r="N105" i="105" s="1"/>
  <c r="P104" i="105"/>
  <c r="N104" i="105" s="1"/>
  <c r="P103" i="105"/>
  <c r="N103" i="105" s="1"/>
  <c r="P102" i="105"/>
  <c r="N102" i="105" s="1"/>
  <c r="P101" i="105"/>
  <c r="N101" i="105" s="1"/>
  <c r="P100" i="105"/>
  <c r="N100" i="105" s="1"/>
  <c r="P99" i="105"/>
  <c r="N99" i="105" s="1"/>
  <c r="P98" i="105"/>
  <c r="N98" i="105" s="1"/>
  <c r="P97" i="105"/>
  <c r="N97" i="105" s="1"/>
  <c r="P96" i="105"/>
  <c r="N96" i="105" s="1"/>
  <c r="P95" i="105"/>
  <c r="N95" i="105" s="1"/>
  <c r="P94" i="105"/>
  <c r="N94" i="105" s="1"/>
  <c r="P93" i="105"/>
  <c r="N93" i="105" s="1"/>
  <c r="P92" i="105"/>
  <c r="N92" i="105" s="1"/>
  <c r="P91" i="105"/>
  <c r="N91" i="105" s="1"/>
  <c r="P90" i="105"/>
  <c r="N90" i="105" s="1"/>
  <c r="P89" i="105"/>
  <c r="N89" i="105" s="1"/>
  <c r="P88" i="105"/>
  <c r="N88" i="105" s="1"/>
  <c r="P87" i="105"/>
  <c r="N87" i="105" s="1"/>
  <c r="P86" i="105"/>
  <c r="N86" i="105" s="1"/>
  <c r="P85" i="105"/>
  <c r="N85" i="105" s="1"/>
  <c r="P84" i="105"/>
  <c r="N84" i="105" s="1"/>
  <c r="P83" i="105"/>
  <c r="N83" i="105" s="1"/>
  <c r="P82" i="105"/>
  <c r="N82" i="105" s="1"/>
  <c r="P81" i="105"/>
  <c r="N81" i="105" s="1"/>
  <c r="P80" i="105"/>
  <c r="N80" i="105" s="1"/>
  <c r="P79" i="105"/>
  <c r="N79" i="105" s="1"/>
  <c r="P78" i="105"/>
  <c r="N78" i="105" s="1"/>
  <c r="P77" i="105"/>
  <c r="N77" i="105" s="1"/>
  <c r="P76" i="105"/>
  <c r="N76" i="105" s="1"/>
  <c r="P75" i="105"/>
  <c r="N75" i="105" s="1"/>
  <c r="P74" i="105"/>
  <c r="N74" i="105" s="1"/>
  <c r="P73" i="105"/>
  <c r="N73" i="105" s="1"/>
  <c r="P72" i="105"/>
  <c r="N72" i="105" s="1"/>
  <c r="P71" i="105"/>
  <c r="N71" i="105" s="1"/>
  <c r="P70" i="105"/>
  <c r="N70" i="105" s="1"/>
  <c r="P69" i="105"/>
  <c r="N69" i="105" s="1"/>
  <c r="P68" i="105"/>
  <c r="N68" i="105" s="1"/>
  <c r="P67" i="105"/>
  <c r="N67" i="105" s="1"/>
  <c r="P66" i="105"/>
  <c r="N66" i="105" s="1"/>
  <c r="P65" i="105"/>
  <c r="N65" i="105" s="1"/>
  <c r="P64" i="105"/>
  <c r="N64" i="105" s="1"/>
  <c r="P63" i="105"/>
  <c r="N63" i="105" s="1"/>
  <c r="P62" i="105"/>
  <c r="N62" i="105" s="1"/>
  <c r="P61" i="105"/>
  <c r="N61" i="105" s="1"/>
  <c r="P60" i="105"/>
  <c r="N60" i="105" s="1"/>
  <c r="P59" i="105"/>
  <c r="N59" i="105" s="1"/>
  <c r="P58" i="105"/>
  <c r="N58" i="105" s="1"/>
  <c r="P57" i="105"/>
  <c r="N57" i="105" s="1"/>
  <c r="P56" i="105"/>
  <c r="N56" i="105" s="1"/>
  <c r="P55" i="105"/>
  <c r="N55" i="105" s="1"/>
  <c r="P54" i="105"/>
  <c r="N54" i="105" s="1"/>
  <c r="P53" i="105"/>
  <c r="N53" i="105" s="1"/>
  <c r="P52" i="105"/>
  <c r="N52" i="105" s="1"/>
  <c r="P51" i="105"/>
  <c r="N51" i="105" s="1"/>
  <c r="P50" i="105"/>
  <c r="N50" i="105" s="1"/>
  <c r="P49" i="105"/>
  <c r="N49" i="105" s="1"/>
  <c r="P48" i="105"/>
  <c r="N48" i="105" s="1"/>
  <c r="P47" i="105"/>
  <c r="N47" i="105" s="1"/>
  <c r="P46" i="105"/>
  <c r="N46" i="105" s="1"/>
  <c r="P45" i="105"/>
  <c r="N45" i="105" s="1"/>
  <c r="P44" i="105"/>
  <c r="N44" i="105" s="1"/>
  <c r="P43" i="105"/>
  <c r="N43" i="105" s="1"/>
  <c r="P42" i="105"/>
  <c r="N42" i="105" s="1"/>
  <c r="P41" i="105"/>
  <c r="N41" i="105" s="1"/>
  <c r="P40" i="105"/>
  <c r="N40" i="105" s="1"/>
  <c r="P39" i="105"/>
  <c r="N39" i="105" s="1"/>
  <c r="P38" i="105"/>
  <c r="N38" i="105" s="1"/>
  <c r="P37" i="105"/>
  <c r="N37" i="105" s="1"/>
  <c r="P36" i="105"/>
  <c r="N36" i="105" s="1"/>
  <c r="P35" i="105"/>
  <c r="N35" i="105" s="1"/>
  <c r="P34" i="105"/>
  <c r="N34" i="105" s="1"/>
  <c r="P33" i="105"/>
  <c r="N33" i="105" s="1"/>
  <c r="P32" i="105"/>
  <c r="N32" i="105" s="1"/>
  <c r="P31" i="105"/>
  <c r="N31" i="105" s="1"/>
  <c r="P30" i="105"/>
  <c r="N30" i="105" s="1"/>
  <c r="P29" i="105"/>
  <c r="N29" i="105" s="1"/>
  <c r="P28" i="105"/>
  <c r="N28" i="105" s="1"/>
  <c r="P27" i="105"/>
  <c r="N27" i="105" s="1"/>
  <c r="P26" i="105"/>
  <c r="N26" i="105" s="1"/>
  <c r="P25" i="105"/>
  <c r="N25" i="105" s="1"/>
  <c r="P24" i="105"/>
  <c r="N24" i="105" s="1"/>
  <c r="P23" i="105"/>
  <c r="N23" i="105" s="1"/>
  <c r="P22" i="105"/>
  <c r="N22" i="105" s="1"/>
  <c r="P21" i="105"/>
  <c r="N21" i="105" s="1"/>
  <c r="P20" i="105"/>
  <c r="N20" i="105" s="1"/>
  <c r="P19" i="105"/>
  <c r="N19" i="105" s="1"/>
  <c r="P18" i="105"/>
  <c r="N18" i="105" s="1"/>
  <c r="P17" i="105"/>
  <c r="N17" i="105" s="1"/>
  <c r="P16" i="105"/>
  <c r="N16" i="105" s="1"/>
  <c r="P15" i="105"/>
  <c r="N15" i="105" s="1"/>
  <c r="P14" i="105"/>
  <c r="N14" i="105" s="1"/>
  <c r="P13" i="105"/>
  <c r="N13" i="105" s="1"/>
  <c r="P12" i="105"/>
  <c r="N12" i="105" s="1"/>
  <c r="P11" i="105"/>
  <c r="P10" i="105"/>
  <c r="M10" i="105"/>
  <c r="B2" i="105"/>
  <c r="A2" i="105"/>
  <c r="G1" i="105"/>
  <c r="B99" i="104"/>
  <c r="B67" i="104"/>
  <c r="B50" i="104"/>
  <c r="M34" i="104"/>
  <c r="CK4" i="103"/>
  <c r="CK7" i="103"/>
  <c r="M12" i="104"/>
  <c r="A22" i="104"/>
  <c r="A21" i="104"/>
  <c r="B20" i="104"/>
  <c r="H34" i="104" s="1"/>
  <c r="A12" i="104"/>
  <c r="CK5" i="103"/>
  <c r="A11" i="104"/>
  <c r="A10" i="104"/>
  <c r="Q9" i="104"/>
  <c r="A9" i="104"/>
  <c r="Q8" i="104"/>
  <c r="A8" i="104"/>
  <c r="B7" i="104"/>
  <c r="H33" i="104" s="1"/>
  <c r="B3" i="104"/>
  <c r="B2" i="104"/>
  <c r="DI281" i="103"/>
  <c r="DH281" i="103"/>
  <c r="BH280" i="103"/>
  <c r="DI280" i="103"/>
  <c r="DH280" i="103"/>
  <c r="BI279" i="103"/>
  <c r="DI279" i="103"/>
  <c r="DH279" i="103"/>
  <c r="BN278" i="103"/>
  <c r="DI278" i="103"/>
  <c r="DH278" i="103"/>
  <c r="DJ278" i="103"/>
  <c r="DI277" i="103"/>
  <c r="DH277" i="103"/>
  <c r="DI276" i="103"/>
  <c r="DH276" i="103"/>
  <c r="BL275" i="103"/>
  <c r="DI275" i="103"/>
  <c r="DH275" i="103"/>
  <c r="DJ275" i="103"/>
  <c r="DI274" i="103"/>
  <c r="DH274" i="103"/>
  <c r="BJ273" i="103"/>
  <c r="DI273" i="103"/>
  <c r="DH273" i="103"/>
  <c r="BI272" i="103"/>
  <c r="DI272" i="103"/>
  <c r="DH272" i="103"/>
  <c r="BI271" i="103"/>
  <c r="DI271" i="103"/>
  <c r="DH271" i="103"/>
  <c r="DK271" i="103" s="1"/>
  <c r="DL271" i="103" s="1"/>
  <c r="DJ271" i="103"/>
  <c r="DI270" i="103"/>
  <c r="DH270" i="103"/>
  <c r="DK270" i="103" s="1"/>
  <c r="DL270" i="103" s="1"/>
  <c r="DI269" i="103"/>
  <c r="DH269" i="103"/>
  <c r="DK269" i="103" s="1"/>
  <c r="DL269" i="103" s="1"/>
  <c r="DI268" i="103"/>
  <c r="DH268" i="103"/>
  <c r="DK268" i="103" s="1"/>
  <c r="DL268" i="103" s="1"/>
  <c r="BJ267" i="103"/>
  <c r="DI267" i="103"/>
  <c r="DH267" i="103"/>
  <c r="DK267" i="103" s="1"/>
  <c r="DL267" i="103" s="1"/>
  <c r="BM266" i="103"/>
  <c r="DI266" i="103"/>
  <c r="DH266" i="103"/>
  <c r="DK266" i="103" s="1"/>
  <c r="DL266" i="103" s="1"/>
  <c r="BM265" i="103"/>
  <c r="DI265" i="103"/>
  <c r="DH265" i="103"/>
  <c r="DK265" i="103" s="1"/>
  <c r="DL265" i="103" s="1"/>
  <c r="BJ264" i="103"/>
  <c r="DI264" i="103"/>
  <c r="DH264" i="103"/>
  <c r="DK264" i="103" s="1"/>
  <c r="DL264" i="103" s="1"/>
  <c r="DI263" i="103"/>
  <c r="DH263" i="103"/>
  <c r="DK263" i="103" s="1"/>
  <c r="DL263" i="103" s="1"/>
  <c r="BH262" i="103"/>
  <c r="DI262" i="103"/>
  <c r="DH262" i="103"/>
  <c r="DK262" i="103" s="1"/>
  <c r="DL262" i="103" s="1"/>
  <c r="DI261" i="103"/>
  <c r="DH261" i="103"/>
  <c r="DK261" i="103" s="1"/>
  <c r="DL261" i="103" s="1"/>
  <c r="BK260" i="103"/>
  <c r="DI260" i="103"/>
  <c r="DH260" i="103"/>
  <c r="DK260" i="103" s="1"/>
  <c r="DL260" i="103" s="1"/>
  <c r="BJ259" i="103"/>
  <c r="DI259" i="103"/>
  <c r="DH259" i="103"/>
  <c r="DK259" i="103" s="1"/>
  <c r="DL259" i="103" s="1"/>
  <c r="BL258" i="103"/>
  <c r="DI258" i="103"/>
  <c r="DH258" i="103"/>
  <c r="DK258" i="103" s="1"/>
  <c r="DL258" i="103" s="1"/>
  <c r="BN257" i="103"/>
  <c r="DI257" i="103"/>
  <c r="DH257" i="103"/>
  <c r="DK257" i="103" s="1"/>
  <c r="DL257" i="103" s="1"/>
  <c r="BM256" i="103"/>
  <c r="DI256" i="103"/>
  <c r="DH256" i="103"/>
  <c r="DK256" i="103" s="1"/>
  <c r="DL256" i="103" s="1"/>
  <c r="BM255" i="103"/>
  <c r="DI255" i="103"/>
  <c r="DH255" i="103"/>
  <c r="DK255" i="103" s="1"/>
  <c r="DL255" i="103" s="1"/>
  <c r="BK254" i="103"/>
  <c r="DI254" i="103"/>
  <c r="DH254" i="103"/>
  <c r="DK254" i="103" s="1"/>
  <c r="DL254" i="103" s="1"/>
  <c r="BI253" i="103"/>
  <c r="DI253" i="103"/>
  <c r="DH253" i="103"/>
  <c r="DK253" i="103" s="1"/>
  <c r="DL253" i="103" s="1"/>
  <c r="BI252" i="103"/>
  <c r="DI252" i="103"/>
  <c r="DH252" i="103"/>
  <c r="DK252" i="103" s="1"/>
  <c r="DL252" i="103" s="1"/>
  <c r="BL251" i="103"/>
  <c r="DI251" i="103"/>
  <c r="DH251" i="103"/>
  <c r="DK251" i="103" s="1"/>
  <c r="DL251" i="103" s="1"/>
  <c r="DI250" i="103"/>
  <c r="DH250" i="103"/>
  <c r="DK250" i="103" s="1"/>
  <c r="DL250" i="103" s="1"/>
  <c r="BI249" i="103"/>
  <c r="DI249" i="103"/>
  <c r="DH249" i="103"/>
  <c r="DK249" i="103" s="1"/>
  <c r="DL249" i="103" s="1"/>
  <c r="BI248" i="103"/>
  <c r="DI248" i="103"/>
  <c r="DH248" i="103"/>
  <c r="DK248" i="103" s="1"/>
  <c r="DL248" i="103" s="1"/>
  <c r="DJ248" i="103"/>
  <c r="DI247" i="103"/>
  <c r="DH247" i="103"/>
  <c r="DK247" i="103" s="1"/>
  <c r="DL247" i="103" s="1"/>
  <c r="BJ246" i="103"/>
  <c r="DI246" i="103"/>
  <c r="DH246" i="103"/>
  <c r="DK246" i="103" s="1"/>
  <c r="DL246" i="103" s="1"/>
  <c r="BN245" i="103"/>
  <c r="DI245" i="103"/>
  <c r="DH245" i="103"/>
  <c r="DK245" i="103" s="1"/>
  <c r="DL245" i="103" s="1"/>
  <c r="DL244" i="103"/>
  <c r="DI244" i="103"/>
  <c r="DH244" i="103"/>
  <c r="BL243" i="103"/>
  <c r="DI243" i="103"/>
  <c r="DH243" i="103"/>
  <c r="BI242" i="103"/>
  <c r="DI242" i="103"/>
  <c r="DH242" i="103"/>
  <c r="BN241" i="103"/>
  <c r="DI241" i="103"/>
  <c r="DH241" i="103"/>
  <c r="DI240" i="103"/>
  <c r="DH240" i="103"/>
  <c r="DI239" i="103"/>
  <c r="DH239" i="103"/>
  <c r="BH238" i="103"/>
  <c r="DI238" i="103"/>
  <c r="DH238" i="103"/>
  <c r="DJ238" i="103"/>
  <c r="DI237" i="103"/>
  <c r="DH237" i="103"/>
  <c r="DK237" i="103" s="1"/>
  <c r="DL237" i="103" s="1"/>
  <c r="BN236" i="103"/>
  <c r="DI236" i="103"/>
  <c r="DH236" i="103"/>
  <c r="BL235" i="103"/>
  <c r="DI235" i="103"/>
  <c r="DH235" i="103"/>
  <c r="BI234" i="103"/>
  <c r="DI234" i="103"/>
  <c r="DH234" i="103"/>
  <c r="BJ233" i="103"/>
  <c r="DI233" i="103"/>
  <c r="DH233" i="103"/>
  <c r="BL232" i="103"/>
  <c r="DI232" i="103"/>
  <c r="DH232" i="103"/>
  <c r="BH231" i="103"/>
  <c r="DI231" i="103"/>
  <c r="DH231" i="103"/>
  <c r="BN230" i="103"/>
  <c r="DI230" i="103"/>
  <c r="DH230" i="103"/>
  <c r="DJ230" i="103"/>
  <c r="DI229" i="103"/>
  <c r="DH229" i="103"/>
  <c r="BL228" i="103"/>
  <c r="DL228" i="103"/>
  <c r="DI228" i="103"/>
  <c r="DH228" i="103"/>
  <c r="BN227" i="103"/>
  <c r="DI227" i="103"/>
  <c r="DH227" i="103"/>
  <c r="DJ227" i="103"/>
  <c r="DI226" i="103"/>
  <c r="DH226" i="103"/>
  <c r="DK226" i="103" s="1"/>
  <c r="DL226" i="103" s="1"/>
  <c r="BK225" i="103"/>
  <c r="DI225" i="103"/>
  <c r="DH225" i="103"/>
  <c r="DK225" i="103" s="1"/>
  <c r="DL225" i="103" s="1"/>
  <c r="DJ225" i="103"/>
  <c r="DI224" i="103"/>
  <c r="DH224" i="103"/>
  <c r="BJ223" i="103"/>
  <c r="DI223" i="103"/>
  <c r="DH223" i="103"/>
  <c r="BN222" i="103"/>
  <c r="DI222" i="103"/>
  <c r="DH222" i="103"/>
  <c r="DJ222" i="103"/>
  <c r="DI221" i="103"/>
  <c r="DH221" i="103"/>
  <c r="DK221" i="103" s="1"/>
  <c r="DL221" i="103" s="1"/>
  <c r="BJ220" i="103"/>
  <c r="DI220" i="103"/>
  <c r="DH220" i="103"/>
  <c r="BN219" i="103"/>
  <c r="DI219" i="103"/>
  <c r="DH219" i="103"/>
  <c r="DI218" i="103"/>
  <c r="DH218" i="103"/>
  <c r="DI217" i="103"/>
  <c r="DH217" i="103"/>
  <c r="DI216" i="103"/>
  <c r="DH216" i="103"/>
  <c r="DK216" i="103" s="1"/>
  <c r="DL216" i="103" s="1"/>
  <c r="BJ215" i="103"/>
  <c r="DI215" i="103"/>
  <c r="DH215" i="103"/>
  <c r="DK215" i="103" s="1"/>
  <c r="DL215" i="103" s="1"/>
  <c r="BM214" i="103"/>
  <c r="DI214" i="103"/>
  <c r="DH214" i="103"/>
  <c r="BN213" i="103"/>
  <c r="DI213" i="103"/>
  <c r="DH213" i="103"/>
  <c r="BL212" i="103"/>
  <c r="DI212" i="103"/>
  <c r="DH212" i="103"/>
  <c r="BI211" i="103"/>
  <c r="DI211" i="103"/>
  <c r="DH211" i="103"/>
  <c r="BM210" i="103"/>
  <c r="DI210" i="103"/>
  <c r="DH210" i="103"/>
  <c r="DI209" i="103"/>
  <c r="DH209" i="103"/>
  <c r="DJ209" i="103"/>
  <c r="DI208" i="103"/>
  <c r="DH208" i="103"/>
  <c r="DI207" i="103"/>
  <c r="DH207" i="103"/>
  <c r="DI206" i="103"/>
  <c r="DH206" i="103"/>
  <c r="DJ206" i="103"/>
  <c r="DI205" i="103"/>
  <c r="DH205" i="103"/>
  <c r="DJ205" i="103"/>
  <c r="DI204" i="103"/>
  <c r="DH204" i="103"/>
  <c r="BM203" i="103"/>
  <c r="DI203" i="103"/>
  <c r="DH203" i="103"/>
  <c r="DI202" i="103"/>
  <c r="DH202" i="103"/>
  <c r="BJ201" i="103"/>
  <c r="DI201" i="103"/>
  <c r="DH201" i="103"/>
  <c r="DI200" i="103"/>
  <c r="DH200" i="103"/>
  <c r="BJ199" i="103"/>
  <c r="DI199" i="103"/>
  <c r="DH199" i="103"/>
  <c r="BK198" i="103"/>
  <c r="DI198" i="103"/>
  <c r="DH198" i="103"/>
  <c r="BN197" i="103"/>
  <c r="DL197" i="103"/>
  <c r="DI197" i="103"/>
  <c r="DH197" i="103"/>
  <c r="DI196" i="103"/>
  <c r="DH196" i="103"/>
  <c r="DK196" i="103" s="1"/>
  <c r="DL196" i="103" s="1"/>
  <c r="DI195" i="103"/>
  <c r="DH195" i="103"/>
  <c r="BJ194" i="103"/>
  <c r="DI194" i="103"/>
  <c r="DH194" i="103"/>
  <c r="BL193" i="103"/>
  <c r="DI193" i="103"/>
  <c r="DH193" i="103"/>
  <c r="BH192" i="103"/>
  <c r="DI192" i="103"/>
  <c r="DH192" i="103"/>
  <c r="DK192" i="103" s="1"/>
  <c r="DL192" i="103" s="1"/>
  <c r="DI191" i="103"/>
  <c r="DH191" i="103"/>
  <c r="DK191" i="103" s="1"/>
  <c r="DL191" i="103" s="1"/>
  <c r="DI190" i="103"/>
  <c r="DH190" i="103"/>
  <c r="BL189" i="103"/>
  <c r="DI189" i="103"/>
  <c r="DH189" i="103"/>
  <c r="BI188" i="103"/>
  <c r="DI188" i="103"/>
  <c r="DH188" i="103"/>
  <c r="DI187" i="103"/>
  <c r="DH187" i="103"/>
  <c r="DJ187" i="103"/>
  <c r="DI186" i="103"/>
  <c r="DH186" i="103"/>
  <c r="DI185" i="103"/>
  <c r="DH185" i="103"/>
  <c r="BH184" i="103"/>
  <c r="DI184" i="103"/>
  <c r="DH184" i="103"/>
  <c r="BN183" i="103"/>
  <c r="DI183" i="103"/>
  <c r="DH183" i="103"/>
  <c r="BJ182" i="103"/>
  <c r="DI182" i="103"/>
  <c r="DH182" i="103"/>
  <c r="DK182" i="103" s="1"/>
  <c r="DL182" i="103" s="1"/>
  <c r="DI181" i="103"/>
  <c r="DH181" i="103"/>
  <c r="DI180" i="103"/>
  <c r="DH180" i="103"/>
  <c r="DI179" i="103"/>
  <c r="DH179" i="103"/>
  <c r="BN178" i="103"/>
  <c r="DI178" i="103"/>
  <c r="DH178" i="103"/>
  <c r="DI177" i="103"/>
  <c r="DH177" i="103"/>
  <c r="BH176" i="103"/>
  <c r="DI176" i="103"/>
  <c r="DH176" i="103"/>
  <c r="BM175" i="103"/>
  <c r="DI175" i="103"/>
  <c r="DH175" i="103"/>
  <c r="BH174" i="103"/>
  <c r="DI174" i="103"/>
  <c r="DH174" i="103"/>
  <c r="BI173" i="103"/>
  <c r="DL173" i="103"/>
  <c r="DI173" i="103"/>
  <c r="DH173" i="103"/>
  <c r="DI172" i="103"/>
  <c r="DH172" i="103"/>
  <c r="DI171" i="103"/>
  <c r="DH171" i="103"/>
  <c r="DI170" i="103"/>
  <c r="DH170" i="103"/>
  <c r="BJ169" i="103"/>
  <c r="DI169" i="103"/>
  <c r="DH169" i="103"/>
  <c r="DI168" i="103"/>
  <c r="DH168" i="103"/>
  <c r="DJ168" i="103"/>
  <c r="DI167" i="103"/>
  <c r="DH167" i="103"/>
  <c r="BM166" i="103"/>
  <c r="DI166" i="103"/>
  <c r="DH166" i="103"/>
  <c r="BJ165" i="103"/>
  <c r="DI165" i="103"/>
  <c r="DH165" i="103"/>
  <c r="BL164" i="103"/>
  <c r="DI164" i="103"/>
  <c r="DH164" i="103"/>
  <c r="DI163" i="103"/>
  <c r="DH163" i="103"/>
  <c r="BI162" i="103"/>
  <c r="DI162" i="103"/>
  <c r="DH162" i="103"/>
  <c r="BK161" i="103"/>
  <c r="DI161" i="103"/>
  <c r="DH161" i="103"/>
  <c r="DI160" i="103"/>
  <c r="DH160" i="103"/>
  <c r="DK160" i="103" s="1"/>
  <c r="DL160" i="103" s="1"/>
  <c r="BO159" i="103"/>
  <c r="BP159" i="103" s="1"/>
  <c r="DJ160" i="103"/>
  <c r="DI159" i="103"/>
  <c r="DH159" i="103"/>
  <c r="BM158" i="103"/>
  <c r="DI158" i="103"/>
  <c r="DH158" i="103"/>
  <c r="BH157" i="103"/>
  <c r="DI157" i="103"/>
  <c r="DH157" i="103"/>
  <c r="DI156" i="103"/>
  <c r="DH156" i="103"/>
  <c r="BM155" i="103"/>
  <c r="DI155" i="103"/>
  <c r="DH155" i="103"/>
  <c r="BJ154" i="103"/>
  <c r="DI154" i="103"/>
  <c r="DH154" i="103"/>
  <c r="DK154" i="103" s="1"/>
  <c r="DL154" i="103" s="1"/>
  <c r="BL153" i="103"/>
  <c r="DI153" i="103"/>
  <c r="DH153" i="103"/>
  <c r="BK152" i="103"/>
  <c r="DI152" i="103"/>
  <c r="DH152" i="103"/>
  <c r="DJ152" i="103"/>
  <c r="DI151" i="103"/>
  <c r="DH151" i="103"/>
  <c r="BJ150" i="103"/>
  <c r="DI150" i="103"/>
  <c r="DH150" i="103"/>
  <c r="BM149" i="103"/>
  <c r="DI149" i="103"/>
  <c r="DH149" i="103"/>
  <c r="DI148" i="103"/>
  <c r="DH148" i="103"/>
  <c r="BN147" i="103"/>
  <c r="DI147" i="103"/>
  <c r="DH147" i="103"/>
  <c r="BJ146" i="103"/>
  <c r="DI146" i="103"/>
  <c r="DH146" i="103"/>
  <c r="BK145" i="103"/>
  <c r="DI145" i="103"/>
  <c r="DH145" i="103"/>
  <c r="DK145" i="103" s="1"/>
  <c r="DL145" i="103" s="1"/>
  <c r="DI144" i="103"/>
  <c r="DH144" i="103"/>
  <c r="DK144" i="103" s="1"/>
  <c r="DL144" i="103" s="1"/>
  <c r="DI143" i="103"/>
  <c r="DH143" i="103"/>
  <c r="DI142" i="103"/>
  <c r="DH142" i="103"/>
  <c r="BH141" i="103"/>
  <c r="DI141" i="103"/>
  <c r="DH141" i="103"/>
  <c r="BN140" i="103"/>
  <c r="DI140" i="103"/>
  <c r="DH140" i="103"/>
  <c r="DJ140" i="103"/>
  <c r="DI139" i="103"/>
  <c r="DH139" i="103"/>
  <c r="BM138" i="103"/>
  <c r="DI138" i="103"/>
  <c r="DH138" i="103"/>
  <c r="DK138" i="103" s="1"/>
  <c r="DL138" i="103" s="1"/>
  <c r="BL137" i="103"/>
  <c r="DI137" i="103"/>
  <c r="DH137" i="103"/>
  <c r="BN136" i="103"/>
  <c r="DI136" i="103"/>
  <c r="DH136" i="103"/>
  <c r="BN135" i="103"/>
  <c r="DI135" i="103"/>
  <c r="DH135" i="103"/>
  <c r="DI134" i="103"/>
  <c r="DH134" i="103"/>
  <c r="DJ134" i="103"/>
  <c r="DL133" i="103"/>
  <c r="DI133" i="103"/>
  <c r="DH133" i="103"/>
  <c r="BM132" i="103"/>
  <c r="DI132" i="103"/>
  <c r="DH132" i="103"/>
  <c r="DJ132" i="103"/>
  <c r="DI131" i="103"/>
  <c r="DH131" i="103"/>
  <c r="DI130" i="103"/>
  <c r="DH130" i="103"/>
  <c r="DI129" i="103"/>
  <c r="DH129" i="103"/>
  <c r="BK128" i="103"/>
  <c r="DI128" i="103"/>
  <c r="DH128" i="103"/>
  <c r="DJ128" i="103"/>
  <c r="DI127" i="103"/>
  <c r="DH127" i="103"/>
  <c r="DK127" i="103" s="1"/>
  <c r="DL127" i="103" s="1"/>
  <c r="BH126" i="103"/>
  <c r="DI126" i="103"/>
  <c r="DH126" i="103"/>
  <c r="DI125" i="103"/>
  <c r="DH125" i="103"/>
  <c r="DK125" i="103" s="1"/>
  <c r="DL125" i="103" s="1"/>
  <c r="BJ124" i="103"/>
  <c r="DI124" i="103"/>
  <c r="DH124" i="103"/>
  <c r="BH123" i="103"/>
  <c r="DI123" i="103"/>
  <c r="DH123" i="103"/>
  <c r="DI122" i="103"/>
  <c r="DH122" i="103"/>
  <c r="DK122" i="103" s="1"/>
  <c r="DL122" i="103" s="1"/>
  <c r="DI121" i="103"/>
  <c r="DH121" i="103"/>
  <c r="BI120" i="103"/>
  <c r="DI120" i="103"/>
  <c r="DH120" i="103"/>
  <c r="DI119" i="103"/>
  <c r="DH119" i="103"/>
  <c r="DK119" i="103" s="1"/>
  <c r="DL119" i="103" s="1"/>
  <c r="DJ119" i="103"/>
  <c r="DI118" i="103"/>
  <c r="DH118" i="103"/>
  <c r="DK118" i="103" s="1"/>
  <c r="DL118" i="103" s="1"/>
  <c r="BL117" i="103"/>
  <c r="DI117" i="103"/>
  <c r="DH117" i="103"/>
  <c r="BL116" i="103"/>
  <c r="DI116" i="103"/>
  <c r="DH116" i="103"/>
  <c r="DK116" i="103" s="1"/>
  <c r="DL116" i="103" s="1"/>
  <c r="DJ116" i="103"/>
  <c r="DI115" i="103"/>
  <c r="DH115" i="103"/>
  <c r="DJ115" i="103"/>
  <c r="DI114" i="103"/>
  <c r="DH114" i="103"/>
  <c r="DI113" i="103"/>
  <c r="DH113" i="103"/>
  <c r="BM112" i="103"/>
  <c r="DI112" i="103"/>
  <c r="DH112" i="103"/>
  <c r="BL111" i="103"/>
  <c r="DI111" i="103"/>
  <c r="DH111" i="103"/>
  <c r="BI110" i="103"/>
  <c r="DI110" i="103"/>
  <c r="DH110" i="103"/>
  <c r="DI109" i="103"/>
  <c r="DH109" i="103"/>
  <c r="DJ109" i="103"/>
  <c r="DI108" i="103"/>
  <c r="DH108" i="103"/>
  <c r="BH107" i="103"/>
  <c r="DI106" i="103"/>
  <c r="DH106" i="103"/>
  <c r="BK106" i="103"/>
  <c r="DI105" i="103"/>
  <c r="DH105" i="103"/>
  <c r="BJ105" i="103"/>
  <c r="DI104" i="103"/>
  <c r="DH104" i="103"/>
  <c r="DI103" i="103"/>
  <c r="DH103" i="103"/>
  <c r="DK103" i="103" s="1"/>
  <c r="DL103" i="103" s="1"/>
  <c r="DI102" i="103"/>
  <c r="DH102" i="103"/>
  <c r="DI101" i="103"/>
  <c r="DH101" i="103"/>
  <c r="DK101" i="103" s="1"/>
  <c r="DL101" i="103" s="1"/>
  <c r="BJ101" i="103"/>
  <c r="DI100" i="103"/>
  <c r="DH100" i="103"/>
  <c r="DI99" i="103"/>
  <c r="DH99" i="103"/>
  <c r="DI98" i="103"/>
  <c r="DH98" i="103"/>
  <c r="BI98" i="103"/>
  <c r="DI97" i="103"/>
  <c r="DH97" i="103"/>
  <c r="DI96" i="103"/>
  <c r="DH96" i="103"/>
  <c r="DJ96" i="103"/>
  <c r="DI95" i="103"/>
  <c r="DH95" i="103"/>
  <c r="DK95" i="103" s="1"/>
  <c r="DL95" i="103" s="1"/>
  <c r="DI94" i="103"/>
  <c r="DH94" i="103"/>
  <c r="DK94" i="103" s="1"/>
  <c r="DL94" i="103" s="1"/>
  <c r="BI94" i="103"/>
  <c r="DI93" i="103"/>
  <c r="DH93" i="103"/>
  <c r="DI92" i="103"/>
  <c r="DH92" i="103"/>
  <c r="DI91" i="103"/>
  <c r="DH91" i="103"/>
  <c r="DI90" i="103"/>
  <c r="DH90" i="103"/>
  <c r="BK90" i="103"/>
  <c r="DI89" i="103"/>
  <c r="DH89" i="103"/>
  <c r="DK89" i="103" s="1"/>
  <c r="DL89" i="103" s="1"/>
  <c r="DI88" i="103"/>
  <c r="DH88" i="103"/>
  <c r="BI88" i="103"/>
  <c r="DI87" i="103"/>
  <c r="DH87" i="103"/>
  <c r="DI86" i="103"/>
  <c r="DH86" i="103"/>
  <c r="BJ86" i="103"/>
  <c r="DI85" i="103"/>
  <c r="DH85" i="103"/>
  <c r="BN85" i="103"/>
  <c r="DI84" i="103"/>
  <c r="DH84" i="103"/>
  <c r="DI83" i="103"/>
  <c r="DH83" i="103"/>
  <c r="DJ83" i="103"/>
  <c r="DI82" i="103"/>
  <c r="DH82" i="103"/>
  <c r="BN82" i="103"/>
  <c r="DI81" i="103"/>
  <c r="DH81" i="103"/>
  <c r="BL81" i="103"/>
  <c r="DI80" i="103"/>
  <c r="DH80" i="103"/>
  <c r="DK80" i="103" s="1"/>
  <c r="DL80" i="103" s="1"/>
  <c r="BN80" i="103"/>
  <c r="DI79" i="103"/>
  <c r="DH79" i="103"/>
  <c r="DK79" i="103" s="1"/>
  <c r="DL79" i="103" s="1"/>
  <c r="BK79" i="103"/>
  <c r="DI78" i="103"/>
  <c r="DH78" i="103"/>
  <c r="DK78" i="103" s="1"/>
  <c r="DL78" i="103" s="1"/>
  <c r="BI78" i="103"/>
  <c r="DI77" i="103"/>
  <c r="DH77" i="103"/>
  <c r="DJ77" i="103"/>
  <c r="DI76" i="103"/>
  <c r="DH76" i="103"/>
  <c r="DJ76" i="103"/>
  <c r="DI75" i="103"/>
  <c r="DH75" i="103"/>
  <c r="DK75" i="103" s="1"/>
  <c r="DL75" i="103" s="1"/>
  <c r="DI74" i="103"/>
  <c r="DH74" i="103"/>
  <c r="BM74" i="103"/>
  <c r="DI73" i="103"/>
  <c r="DH73" i="103"/>
  <c r="BO73" i="103"/>
  <c r="BP73" i="103" s="1"/>
  <c r="DJ73" i="103"/>
  <c r="DI72" i="103"/>
  <c r="DH72" i="103"/>
  <c r="DJ72" i="103"/>
  <c r="DI71" i="103"/>
  <c r="DH71" i="103"/>
  <c r="BH71" i="103"/>
  <c r="DI70" i="103"/>
  <c r="DH70" i="103"/>
  <c r="DI69" i="103"/>
  <c r="DH69" i="103"/>
  <c r="DI68" i="103"/>
  <c r="DH68" i="103"/>
  <c r="DJ68" i="103"/>
  <c r="DI67" i="103"/>
  <c r="DH67" i="103"/>
  <c r="DK67" i="103" s="1"/>
  <c r="DL67" i="103" s="1"/>
  <c r="DI66" i="103"/>
  <c r="DH66" i="103"/>
  <c r="DI65" i="103"/>
  <c r="DH65" i="103"/>
  <c r="BN65" i="103"/>
  <c r="DI64" i="103"/>
  <c r="DH64" i="103"/>
  <c r="BI64" i="103"/>
  <c r="DI63" i="103"/>
  <c r="DH63" i="103"/>
  <c r="DI62" i="103"/>
  <c r="DH62" i="103"/>
  <c r="DI61" i="103"/>
  <c r="DH61" i="103"/>
  <c r="BH61" i="103"/>
  <c r="DI60" i="103"/>
  <c r="DH60" i="103"/>
  <c r="DI59" i="103"/>
  <c r="DH59" i="103"/>
  <c r="DK59" i="103" s="1"/>
  <c r="DL59" i="103" s="1"/>
  <c r="BL59" i="103"/>
  <c r="DI58" i="103"/>
  <c r="DH58" i="103"/>
  <c r="DK58" i="103" s="1"/>
  <c r="DL58" i="103" s="1"/>
  <c r="BL58" i="103"/>
  <c r="DI57" i="103"/>
  <c r="DH57" i="103"/>
  <c r="DK57" i="103" s="1"/>
  <c r="DL57" i="103" s="1"/>
  <c r="BN57" i="103"/>
  <c r="DI56" i="103"/>
  <c r="DH56" i="103"/>
  <c r="DK56" i="103" s="1"/>
  <c r="DL56" i="103" s="1"/>
  <c r="DI55" i="103"/>
  <c r="DH55" i="103"/>
  <c r="DK55" i="103" s="1"/>
  <c r="DL55" i="103" s="1"/>
  <c r="BK55" i="103"/>
  <c r="DI54" i="103"/>
  <c r="DH54" i="103"/>
  <c r="DK54" i="103" s="1"/>
  <c r="DL54" i="103" s="1"/>
  <c r="BH54" i="103"/>
  <c r="DI53" i="103"/>
  <c r="DH53" i="103"/>
  <c r="DK53" i="103" s="1"/>
  <c r="DL53" i="103" s="1"/>
  <c r="DI52" i="103"/>
  <c r="DH52" i="103"/>
  <c r="DK52" i="103" s="1"/>
  <c r="DL52" i="103" s="1"/>
  <c r="DI51" i="103"/>
  <c r="DH51" i="103"/>
  <c r="DK51" i="103" s="1"/>
  <c r="DL51" i="103" s="1"/>
  <c r="BJ51" i="103"/>
  <c r="DI50" i="103"/>
  <c r="DH50" i="103"/>
  <c r="DK50" i="103" s="1"/>
  <c r="DL50" i="103" s="1"/>
  <c r="BL50" i="103"/>
  <c r="DI49" i="103"/>
  <c r="DH49" i="103"/>
  <c r="DK49" i="103" s="1"/>
  <c r="DL49" i="103" s="1"/>
  <c r="DI48" i="103"/>
  <c r="DH48" i="103"/>
  <c r="DK48" i="103" s="1"/>
  <c r="DL48" i="103" s="1"/>
  <c r="DI47" i="103"/>
  <c r="DH47" i="103"/>
  <c r="DK47" i="103" s="1"/>
  <c r="DL47" i="103" s="1"/>
  <c r="BK47" i="103"/>
  <c r="DI46" i="103"/>
  <c r="DH46" i="103"/>
  <c r="BH46" i="103"/>
  <c r="DI45" i="103"/>
  <c r="DH45" i="103"/>
  <c r="DJ45" i="103"/>
  <c r="DI44" i="103"/>
  <c r="DH44" i="103"/>
  <c r="BM44" i="103"/>
  <c r="DI43" i="103"/>
  <c r="DH43" i="103"/>
  <c r="DI42" i="103"/>
  <c r="DH42" i="103"/>
  <c r="DK42" i="103" s="1"/>
  <c r="DL42" i="103" s="1"/>
  <c r="DI41" i="103"/>
  <c r="DH41" i="103"/>
  <c r="BM41" i="103"/>
  <c r="DI40" i="103"/>
  <c r="DH40" i="103"/>
  <c r="BI40" i="103"/>
  <c r="DI39" i="103"/>
  <c r="DH39" i="103"/>
  <c r="DK39" i="103" s="1"/>
  <c r="DL39" i="103" s="1"/>
  <c r="BH39" i="103"/>
  <c r="DI38" i="103"/>
  <c r="DH38" i="103"/>
  <c r="DI37" i="103"/>
  <c r="DH37" i="103"/>
  <c r="DI36" i="103"/>
  <c r="DH36" i="103"/>
  <c r="DJ36" i="103"/>
  <c r="DI35" i="103"/>
  <c r="DH35" i="103"/>
  <c r="DJ35" i="103"/>
  <c r="DI34" i="103"/>
  <c r="DH34" i="103"/>
  <c r="DI33" i="103"/>
  <c r="DH33" i="103"/>
  <c r="BN33" i="103"/>
  <c r="DI32" i="103"/>
  <c r="DH32" i="103"/>
  <c r="DI31" i="103"/>
  <c r="DH31" i="103"/>
  <c r="DK31" i="103" s="1"/>
  <c r="DL31" i="103" s="1"/>
  <c r="BK31" i="103"/>
  <c r="DI30" i="103"/>
  <c r="DH30" i="103"/>
  <c r="BJ30" i="103"/>
  <c r="DI29" i="103"/>
  <c r="DH29" i="103"/>
  <c r="BL29" i="103"/>
  <c r="DI28" i="103"/>
  <c r="DH28" i="103"/>
  <c r="BL28" i="103"/>
  <c r="DI27" i="103"/>
  <c r="DH27" i="103"/>
  <c r="DI26" i="103"/>
  <c r="DH26" i="103"/>
  <c r="DI25" i="103"/>
  <c r="DH25" i="103"/>
  <c r="DI24" i="103"/>
  <c r="DH24" i="103"/>
  <c r="BH24" i="103"/>
  <c r="DI23" i="103"/>
  <c r="DH23" i="103"/>
  <c r="DK23" i="103" s="1"/>
  <c r="DL23" i="103" s="1"/>
  <c r="DJ23" i="103"/>
  <c r="DI22" i="103"/>
  <c r="DH22" i="103"/>
  <c r="DK22" i="103" s="1"/>
  <c r="DL22" i="103" s="1"/>
  <c r="BN22" i="103"/>
  <c r="DI21" i="103"/>
  <c r="DH21" i="103"/>
  <c r="DK21" i="103" s="1"/>
  <c r="DL21" i="103" s="1"/>
  <c r="CH21" i="103"/>
  <c r="CI21" i="103" s="1"/>
  <c r="DI20" i="103"/>
  <c r="DH20" i="103"/>
  <c r="DK20" i="103" s="1"/>
  <c r="DL20" i="103" s="1"/>
  <c r="CH20" i="103"/>
  <c r="CI20" i="103" s="1"/>
  <c r="BL20" i="103"/>
  <c r="DI19" i="103"/>
  <c r="DH19" i="103"/>
  <c r="DK19" i="103" s="1"/>
  <c r="DL19" i="103" s="1"/>
  <c r="CH19" i="103"/>
  <c r="BJ19" i="103"/>
  <c r="DI18" i="103"/>
  <c r="DH18" i="103"/>
  <c r="DK18" i="103" s="1"/>
  <c r="DL18" i="103" s="1"/>
  <c r="CH18" i="103"/>
  <c r="X18" i="103"/>
  <c r="DI17" i="103"/>
  <c r="DH17" i="103"/>
  <c r="DK17" i="103" s="1"/>
  <c r="DL17" i="103" s="1"/>
  <c r="CH17" i="103"/>
  <c r="CI17" i="103" s="1"/>
  <c r="BJ17" i="103"/>
  <c r="DI16" i="103"/>
  <c r="DH16" i="103"/>
  <c r="DK16" i="103" s="1"/>
  <c r="DL16" i="103" s="1"/>
  <c r="CK16" i="103"/>
  <c r="CH16" i="103"/>
  <c r="DI15" i="103"/>
  <c r="DH15" i="103"/>
  <c r="DK15" i="103" s="1"/>
  <c r="DL15" i="103" s="1"/>
  <c r="CK15" i="103"/>
  <c r="CH15" i="103"/>
  <c r="BL15" i="103"/>
  <c r="AA15" i="103"/>
  <c r="Z15" i="103"/>
  <c r="Y15" i="103"/>
  <c r="DI14" i="103"/>
  <c r="DH14" i="103"/>
  <c r="DK14" i="103" s="1"/>
  <c r="DL14" i="103" s="1"/>
  <c r="CH14" i="103"/>
  <c r="BI14" i="103"/>
  <c r="AH14" i="103"/>
  <c r="DI13" i="103"/>
  <c r="DH13" i="103"/>
  <c r="CK13" i="103"/>
  <c r="CH13" i="103"/>
  <c r="CI13" i="103" s="1"/>
  <c r="AJ13" i="103"/>
  <c r="AH13" i="103"/>
  <c r="AA13" i="103"/>
  <c r="Z13" i="103"/>
  <c r="DI12" i="103"/>
  <c r="DH12" i="103"/>
  <c r="CH12" i="103"/>
  <c r="BM12" i="103"/>
  <c r="AJ12" i="103"/>
  <c r="AH12" i="103"/>
  <c r="AA12" i="103"/>
  <c r="Z12" i="103"/>
  <c r="Y12" i="103"/>
  <c r="DI11" i="103"/>
  <c r="DH11" i="103"/>
  <c r="CH11" i="103"/>
  <c r="BO11" i="103"/>
  <c r="BP11" i="103" s="1"/>
  <c r="DJ11" i="103"/>
  <c r="AJ11" i="103"/>
  <c r="AH11" i="103"/>
  <c r="AA11" i="103"/>
  <c r="Z11" i="103"/>
  <c r="Y11" i="103"/>
  <c r="DI10" i="103"/>
  <c r="DH10" i="103"/>
  <c r="CQ12" i="103"/>
  <c r="CK10" i="103"/>
  <c r="CH10" i="103"/>
  <c r="CG10" i="103"/>
  <c r="BN179" i="103" s="1"/>
  <c r="CB10" i="103"/>
  <c r="BI21" i="103" s="1"/>
  <c r="BJ10" i="103"/>
  <c r="AJ10" i="103"/>
  <c r="AH10" i="103"/>
  <c r="DI9" i="103"/>
  <c r="DH9" i="103"/>
  <c r="CQ11" i="103"/>
  <c r="C24" i="79" s="1"/>
  <c r="CK9" i="103"/>
  <c r="CH9" i="103"/>
  <c r="CI9" i="103" s="1"/>
  <c r="BJ9" i="103"/>
  <c r="AJ9" i="103"/>
  <c r="AH9" i="103"/>
  <c r="DI8" i="103"/>
  <c r="DH8" i="103"/>
  <c r="CH8" i="103"/>
  <c r="CI8" i="103" s="1"/>
  <c r="AJ8" i="103"/>
  <c r="AH8" i="103"/>
  <c r="AA8" i="103"/>
  <c r="Z8" i="103"/>
  <c r="Y8" i="103"/>
  <c r="DI7" i="103"/>
  <c r="DH7" i="103"/>
  <c r="CQ7" i="103"/>
  <c r="CH7" i="103"/>
  <c r="BM7" i="103"/>
  <c r="AJ7" i="103"/>
  <c r="AA7" i="103"/>
  <c r="Z7" i="103"/>
  <c r="Y7" i="103"/>
  <c r="DI6" i="103"/>
  <c r="DH6" i="103"/>
  <c r="CH6" i="103"/>
  <c r="BI6" i="103"/>
  <c r="AJ6" i="103"/>
  <c r="AA6" i="103"/>
  <c r="Z6" i="103"/>
  <c r="Y6" i="103"/>
  <c r="DI5" i="103"/>
  <c r="DH5" i="103"/>
  <c r="CH5" i="103"/>
  <c r="AJ5" i="103"/>
  <c r="AH5" i="103"/>
  <c r="DI4" i="103"/>
  <c r="DH4" i="103"/>
  <c r="CQ4" i="103"/>
  <c r="CH4" i="103"/>
  <c r="CI4" i="103" s="1"/>
  <c r="BL4" i="103"/>
  <c r="AJ4" i="103"/>
  <c r="AH4" i="103"/>
  <c r="AA4" i="103"/>
  <c r="Z4" i="103"/>
  <c r="Y4" i="103"/>
  <c r="A4" i="103"/>
  <c r="A5" i="103" s="1"/>
  <c r="A6" i="103" s="1"/>
  <c r="A7" i="103" s="1"/>
  <c r="A8" i="103" s="1"/>
  <c r="A9" i="103" s="1"/>
  <c r="A10" i="103" s="1"/>
  <c r="A11" i="103" s="1"/>
  <c r="A12" i="103" s="1"/>
  <c r="A13" i="103" s="1"/>
  <c r="DI3" i="103"/>
  <c r="DH3" i="103"/>
  <c r="CK3" i="103"/>
  <c r="CH3" i="103"/>
  <c r="BJ3" i="103"/>
  <c r="AJ3" i="103"/>
  <c r="AH3" i="103"/>
  <c r="AA3" i="103"/>
  <c r="Z3" i="103"/>
  <c r="Y3" i="103"/>
  <c r="CH2" i="103"/>
  <c r="CG2" i="103"/>
  <c r="CF2" i="103"/>
  <c r="CE2" i="103"/>
  <c r="CD2" i="103"/>
  <c r="CC2" i="103"/>
  <c r="CB2" i="103"/>
  <c r="CA2" i="103"/>
  <c r="CV1" i="103"/>
  <c r="CU1" i="103"/>
  <c r="G268" i="102"/>
  <c r="G267" i="102"/>
  <c r="G266" i="102"/>
  <c r="G265" i="102"/>
  <c r="G264" i="102"/>
  <c r="F249" i="102"/>
  <c r="G58" i="110" s="1"/>
  <c r="B232" i="102"/>
  <c r="B231" i="102"/>
  <c r="B230" i="102"/>
  <c r="B213" i="102"/>
  <c r="C213" i="102" s="1"/>
  <c r="B212" i="102"/>
  <c r="C212" i="102" s="1"/>
  <c r="B211" i="102"/>
  <c r="B210" i="102"/>
  <c r="B209" i="102"/>
  <c r="B207" i="102"/>
  <c r="C207" i="102" s="1"/>
  <c r="B206" i="102"/>
  <c r="B205" i="102"/>
  <c r="C205" i="102" s="1"/>
  <c r="B204" i="102"/>
  <c r="B175" i="102"/>
  <c r="C175" i="102" s="1"/>
  <c r="B174" i="102"/>
  <c r="C174" i="102" s="1"/>
  <c r="B173" i="102"/>
  <c r="C173" i="102" s="1"/>
  <c r="B172" i="102"/>
  <c r="B171" i="102"/>
  <c r="B170" i="102"/>
  <c r="C170" i="102" s="1"/>
  <c r="B169" i="102"/>
  <c r="B168" i="102"/>
  <c r="C168" i="102" s="1"/>
  <c r="B167" i="102"/>
  <c r="B166" i="102"/>
  <c r="C166" i="102" s="1"/>
  <c r="B165" i="102"/>
  <c r="B164" i="102"/>
  <c r="C164" i="102" s="1"/>
  <c r="B163" i="102"/>
  <c r="C163" i="102" s="1"/>
  <c r="B162" i="102"/>
  <c r="C162" i="102" s="1"/>
  <c r="B161" i="102"/>
  <c r="C161" i="102" s="1"/>
  <c r="B160" i="102"/>
  <c r="C160" i="102" s="1"/>
  <c r="B159" i="102"/>
  <c r="C159" i="102" s="1"/>
  <c r="B158" i="102"/>
  <c r="C158" i="102" s="1"/>
  <c r="B157" i="102"/>
  <c r="C157" i="102" s="1"/>
  <c r="B156" i="102"/>
  <c r="C156" i="102" s="1"/>
  <c r="B155" i="102"/>
  <c r="B154" i="102"/>
  <c r="C154" i="102" s="1"/>
  <c r="B153" i="102"/>
  <c r="B152" i="102"/>
  <c r="C152" i="102" s="1"/>
  <c r="B151" i="102"/>
  <c r="B150" i="102"/>
  <c r="C150" i="102" s="1"/>
  <c r="B149" i="102"/>
  <c r="C149" i="102" s="1"/>
  <c r="B148" i="102"/>
  <c r="C148" i="102" s="1"/>
  <c r="B147" i="102"/>
  <c r="B146" i="102"/>
  <c r="C146" i="102" s="1"/>
  <c r="B145" i="102"/>
  <c r="B144" i="102"/>
  <c r="C144" i="102" s="1"/>
  <c r="B143" i="102"/>
  <c r="B142" i="102"/>
  <c r="C142" i="102" s="1"/>
  <c r="B141" i="102"/>
  <c r="C141" i="102" s="1"/>
  <c r="B140" i="102"/>
  <c r="C140" i="102" s="1"/>
  <c r="B139" i="102"/>
  <c r="C139" i="102" s="1"/>
  <c r="B138" i="102"/>
  <c r="B137" i="102"/>
  <c r="C137" i="102" s="1"/>
  <c r="B136" i="102"/>
  <c r="B135" i="102"/>
  <c r="C135" i="102" s="1"/>
  <c r="B134" i="102"/>
  <c r="B133" i="102"/>
  <c r="C133" i="102" s="1"/>
  <c r="B132" i="102"/>
  <c r="B131" i="102"/>
  <c r="C131" i="102" s="1"/>
  <c r="B130" i="102"/>
  <c r="B129" i="102"/>
  <c r="C129" i="102" s="1"/>
  <c r="B128" i="102"/>
  <c r="B127" i="102"/>
  <c r="C127" i="102" s="1"/>
  <c r="B126" i="102"/>
  <c r="B125" i="102"/>
  <c r="C125" i="102" s="1"/>
  <c r="B124" i="102"/>
  <c r="B123" i="102"/>
  <c r="C123" i="102" s="1"/>
  <c r="B122" i="102"/>
  <c r="C122" i="102" s="1"/>
  <c r="B121" i="102"/>
  <c r="C121" i="102" s="1"/>
  <c r="B120" i="102"/>
  <c r="B119" i="102"/>
  <c r="C119" i="102" s="1"/>
  <c r="B118" i="102"/>
  <c r="B117" i="102"/>
  <c r="C117" i="102" s="1"/>
  <c r="B116" i="102"/>
  <c r="C116" i="102" s="1"/>
  <c r="B115" i="102"/>
  <c r="C115" i="102" s="1"/>
  <c r="B114" i="102"/>
  <c r="C114" i="102" s="1"/>
  <c r="B113" i="102"/>
  <c r="B112" i="102"/>
  <c r="C112" i="102" s="1"/>
  <c r="B111" i="102"/>
  <c r="B110" i="102"/>
  <c r="B109" i="102"/>
  <c r="C109" i="102" s="1"/>
  <c r="B108" i="102"/>
  <c r="C108" i="102" s="1"/>
  <c r="B107" i="102"/>
  <c r="C107" i="102" s="1"/>
  <c r="B106" i="102"/>
  <c r="C106" i="102" s="1"/>
  <c r="B105" i="102"/>
  <c r="C105" i="102" s="1"/>
  <c r="B104" i="102"/>
  <c r="B103" i="102"/>
  <c r="C103" i="102" s="1"/>
  <c r="B102" i="102"/>
  <c r="B101" i="102"/>
  <c r="C101" i="102" s="1"/>
  <c r="B100" i="102"/>
  <c r="B99" i="102"/>
  <c r="C99" i="102" s="1"/>
  <c r="B98" i="102"/>
  <c r="B97" i="102"/>
  <c r="C97" i="102" s="1"/>
  <c r="B96" i="102"/>
  <c r="B95" i="102"/>
  <c r="C95" i="102" s="1"/>
  <c r="B94" i="102"/>
  <c r="C94" i="102" s="1"/>
  <c r="B93" i="102"/>
  <c r="C93" i="102" s="1"/>
  <c r="B92" i="102"/>
  <c r="B91" i="102"/>
  <c r="C91" i="102" s="1"/>
  <c r="B90" i="102"/>
  <c r="B89" i="102"/>
  <c r="C89" i="102" s="1"/>
  <c r="B88" i="102"/>
  <c r="C88" i="102" s="1"/>
  <c r="B87" i="102"/>
  <c r="C87" i="102" s="1"/>
  <c r="B86" i="102"/>
  <c r="C86" i="102" s="1"/>
  <c r="B85" i="102"/>
  <c r="C85" i="102" s="1"/>
  <c r="B84" i="102"/>
  <c r="B83" i="102"/>
  <c r="C83" i="102" s="1"/>
  <c r="B82" i="102"/>
  <c r="B81" i="102"/>
  <c r="C81" i="102" s="1"/>
  <c r="C65" i="102"/>
  <c r="A65" i="102"/>
  <c r="B35" i="79" s="1"/>
  <c r="C64" i="102"/>
  <c r="A64" i="102"/>
  <c r="B34" i="79" s="1"/>
  <c r="A63" i="102"/>
  <c r="B33" i="79" s="1"/>
  <c r="C62" i="102"/>
  <c r="J62" i="102" s="1"/>
  <c r="A62" i="102"/>
  <c r="B32" i="79" s="1"/>
  <c r="C61" i="102"/>
  <c r="J61" i="102" s="1"/>
  <c r="A61" i="102"/>
  <c r="B31" i="79" s="1"/>
  <c r="I38" i="102"/>
  <c r="A38" i="102"/>
  <c r="B28" i="79" s="1"/>
  <c r="I37" i="102"/>
  <c r="C27" i="79" s="1"/>
  <c r="A37" i="102"/>
  <c r="B27" i="79" s="1"/>
  <c r="I36" i="102"/>
  <c r="A36" i="102"/>
  <c r="B26" i="79" s="1"/>
  <c r="I35" i="102"/>
  <c r="A35" i="102"/>
  <c r="B25" i="79" s="1"/>
  <c r="A34" i="102"/>
  <c r="B24" i="79" s="1"/>
  <c r="I33" i="102"/>
  <c r="C23" i="79" s="1"/>
  <c r="A33" i="102"/>
  <c r="B23" i="79" s="1"/>
  <c r="F32" i="102"/>
  <c r="A32" i="102"/>
  <c r="B22" i="79" s="1"/>
  <c r="A31" i="102"/>
  <c r="B21" i="79" s="1"/>
  <c r="A30" i="102"/>
  <c r="B20" i="79" s="1"/>
  <c r="E20" i="79" s="1"/>
  <c r="D1" i="102"/>
  <c r="C1" i="101"/>
  <c r="C231" i="102" l="1"/>
  <c r="A24" i="107"/>
  <c r="F24" i="107" s="1"/>
  <c r="L27" i="107" s="1"/>
  <c r="C230" i="102"/>
  <c r="A17" i="107"/>
  <c r="F17" i="107" s="1"/>
  <c r="L20" i="107" s="1"/>
  <c r="C232" i="102"/>
  <c r="A38" i="107"/>
  <c r="F38" i="107" s="1"/>
  <c r="L38" i="107" s="1"/>
  <c r="M38" i="107" s="1"/>
  <c r="D232" i="102" s="1"/>
  <c r="CK14" i="103"/>
  <c r="M11" i="104"/>
  <c r="D84" i="102"/>
  <c r="C84" i="102"/>
  <c r="D132" i="102"/>
  <c r="C132" i="102"/>
  <c r="D134" i="102"/>
  <c r="C134" i="102"/>
  <c r="D92" i="102"/>
  <c r="C92" i="102"/>
  <c r="D102" i="102"/>
  <c r="C102" i="102"/>
  <c r="D118" i="102"/>
  <c r="C118" i="102"/>
  <c r="D124" i="102"/>
  <c r="C124" i="102"/>
  <c r="E124" i="102" s="1"/>
  <c r="D172" i="102"/>
  <c r="C172" i="102"/>
  <c r="D34" i="102"/>
  <c r="D110" i="102"/>
  <c r="C110" i="102"/>
  <c r="D126" i="102"/>
  <c r="C126" i="102"/>
  <c r="D147" i="102"/>
  <c r="C147" i="102"/>
  <c r="D165" i="102"/>
  <c r="C165" i="102"/>
  <c r="D167" i="102"/>
  <c r="C167" i="102"/>
  <c r="D120" i="102"/>
  <c r="C120" i="102"/>
  <c r="D136" i="102"/>
  <c r="C136" i="102"/>
  <c r="D153" i="102"/>
  <c r="C153" i="102"/>
  <c r="D138" i="102"/>
  <c r="C138" i="102"/>
  <c r="E138" i="102" s="1"/>
  <c r="D155" i="102"/>
  <c r="C155" i="102"/>
  <c r="D111" i="102"/>
  <c r="C111" i="102"/>
  <c r="D143" i="102"/>
  <c r="C143" i="102"/>
  <c r="D169" i="102"/>
  <c r="C169" i="102"/>
  <c r="D96" i="102"/>
  <c r="C96" i="102"/>
  <c r="D113" i="102"/>
  <c r="C113" i="102"/>
  <c r="D145" i="102"/>
  <c r="C145" i="102"/>
  <c r="D100" i="102"/>
  <c r="C100" i="102"/>
  <c r="D151" i="102"/>
  <c r="C151" i="102"/>
  <c r="D104" i="102"/>
  <c r="C104" i="102"/>
  <c r="D90" i="102"/>
  <c r="C90" i="102"/>
  <c r="D171" i="102"/>
  <c r="C171" i="102"/>
  <c r="D128" i="102"/>
  <c r="C128" i="102"/>
  <c r="D82" i="102"/>
  <c r="C82" i="102"/>
  <c r="D98" i="102"/>
  <c r="C98" i="102"/>
  <c r="D130" i="102"/>
  <c r="C130" i="102"/>
  <c r="BI191" i="103"/>
  <c r="BI196" i="103"/>
  <c r="BO8" i="103"/>
  <c r="F21" i="79"/>
  <c r="E21" i="79"/>
  <c r="G21" i="79" s="1"/>
  <c r="F34" i="79"/>
  <c r="E34" i="79"/>
  <c r="F35" i="79"/>
  <c r="E35" i="79"/>
  <c r="F20" i="79"/>
  <c r="F25" i="79"/>
  <c r="E25" i="79"/>
  <c r="F31" i="79"/>
  <c r="E31" i="79"/>
  <c r="F22" i="79"/>
  <c r="E22" i="79"/>
  <c r="G22" i="79" s="1"/>
  <c r="F26" i="79"/>
  <c r="E26" i="79"/>
  <c r="F32" i="79"/>
  <c r="E32" i="79"/>
  <c r="F23" i="79"/>
  <c r="E23" i="79"/>
  <c r="G23" i="79" s="1"/>
  <c r="F27" i="79"/>
  <c r="E27" i="79"/>
  <c r="G27" i="79" s="1"/>
  <c r="F33" i="79"/>
  <c r="E33" i="79"/>
  <c r="F24" i="79"/>
  <c r="E24" i="79"/>
  <c r="G24" i="79" s="1"/>
  <c r="E28" i="79"/>
  <c r="F28" i="79"/>
  <c r="E264" i="102"/>
  <c r="C38" i="79"/>
  <c r="G38" i="79" s="1"/>
  <c r="E265" i="102"/>
  <c r="C39" i="79"/>
  <c r="G39" i="79" s="1"/>
  <c r="E266" i="102"/>
  <c r="C40" i="79"/>
  <c r="E267" i="102"/>
  <c r="C41" i="79"/>
  <c r="E268" i="102"/>
  <c r="C42" i="79"/>
  <c r="G61" i="102"/>
  <c r="C31" i="79"/>
  <c r="F62" i="102"/>
  <c r="C32" i="79"/>
  <c r="F36" i="102"/>
  <c r="C26" i="79"/>
  <c r="D38" i="102"/>
  <c r="C28" i="79"/>
  <c r="E35" i="102"/>
  <c r="C25" i="79"/>
  <c r="H14" i="107"/>
  <c r="M31" i="107"/>
  <c r="N11" i="105"/>
  <c r="C206" i="102" s="1"/>
  <c r="M35" i="107"/>
  <c r="D233" i="102" s="1"/>
  <c r="G102" i="110"/>
  <c r="Q12" i="104"/>
  <c r="BO190" i="103"/>
  <c r="J64" i="102"/>
  <c r="M10" i="104"/>
  <c r="Q10" i="104"/>
  <c r="J65" i="102"/>
  <c r="E37" i="102"/>
  <c r="D37" i="102"/>
  <c r="F34" i="102"/>
  <c r="BM249" i="103"/>
  <c r="BN249" i="103"/>
  <c r="F35" i="102"/>
  <c r="H76" i="77"/>
  <c r="CK11" i="103"/>
  <c r="E21" i="104"/>
  <c r="N11" i="104" s="1"/>
  <c r="E38" i="102"/>
  <c r="F38" i="102"/>
  <c r="BN247" i="103"/>
  <c r="CK12" i="103"/>
  <c r="H50" i="77"/>
  <c r="BN6" i="103"/>
  <c r="BO162" i="103"/>
  <c r="BO176" i="103"/>
  <c r="H27" i="77"/>
  <c r="DJ141" i="103"/>
  <c r="BO50" i="103"/>
  <c r="DJ6" i="103"/>
  <c r="BL249" i="103"/>
  <c r="BJ114" i="103"/>
  <c r="DJ192" i="103"/>
  <c r="BJ249" i="103"/>
  <c r="BK249" i="103"/>
  <c r="I11" i="107"/>
  <c r="I14" i="107" s="1"/>
  <c r="D88" i="102"/>
  <c r="E88" i="102" s="1"/>
  <c r="BM39" i="103"/>
  <c r="BN39" i="103"/>
  <c r="BH28" i="103"/>
  <c r="BM59" i="103"/>
  <c r="BN162" i="103"/>
  <c r="BJ6" i="103"/>
  <c r="BK6" i="103"/>
  <c r="M9" i="104"/>
  <c r="BL6" i="103"/>
  <c r="DJ105" i="103"/>
  <c r="BM131" i="103"/>
  <c r="BL247" i="103"/>
  <c r="H27" i="107"/>
  <c r="G101" i="110" s="1"/>
  <c r="I25" i="107"/>
  <c r="I27" i="107" s="1"/>
  <c r="M27" i="107" s="1"/>
  <c r="D231" i="102" s="1"/>
  <c r="DJ263" i="103"/>
  <c r="BH6" i="103"/>
  <c r="CK17" i="103"/>
  <c r="BI28" i="103"/>
  <c r="BN59" i="103"/>
  <c r="BJ28" i="103"/>
  <c r="BL131" i="103"/>
  <c r="BK247" i="103"/>
  <c r="E61" i="102"/>
  <c r="BM6" i="103"/>
  <c r="DJ28" i="103"/>
  <c r="BM247" i="103"/>
  <c r="DJ26" i="103"/>
  <c r="BI26" i="103"/>
  <c r="BM160" i="103"/>
  <c r="BL160" i="103"/>
  <c r="BL121" i="103"/>
  <c r="BM121" i="103"/>
  <c r="BH26" i="103"/>
  <c r="E34" i="102"/>
  <c r="BK23" i="103"/>
  <c r="BH80" i="103"/>
  <c r="BK132" i="103"/>
  <c r="BI167" i="103"/>
  <c r="BL178" i="103"/>
  <c r="BL23" i="103"/>
  <c r="BO56" i="103"/>
  <c r="BJ80" i="103"/>
  <c r="BL132" i="103"/>
  <c r="BM167" i="103"/>
  <c r="BM178" i="103"/>
  <c r="BM23" i="103"/>
  <c r="BJ39" i="103"/>
  <c r="BL80" i="103"/>
  <c r="BN132" i="103"/>
  <c r="BN167" i="103"/>
  <c r="D94" i="102"/>
  <c r="E94" i="102" s="1"/>
  <c r="BL39" i="103"/>
  <c r="BM80" i="103"/>
  <c r="BJ247" i="103"/>
  <c r="BN38" i="103"/>
  <c r="BO227" i="103"/>
  <c r="BI24" i="103"/>
  <c r="BK124" i="103"/>
  <c r="BL24" i="103"/>
  <c r="BM46" i="103"/>
  <c r="BM124" i="103"/>
  <c r="BM139" i="103"/>
  <c r="BK169" i="103"/>
  <c r="BO36" i="103"/>
  <c r="DJ46" i="103"/>
  <c r="BM82" i="103"/>
  <c r="BN237" i="103"/>
  <c r="BN60" i="103"/>
  <c r="BL214" i="103"/>
  <c r="BL255" i="103"/>
  <c r="BJ23" i="103"/>
  <c r="BN51" i="103"/>
  <c r="BO24" i="103"/>
  <c r="BK58" i="103"/>
  <c r="BL199" i="103"/>
  <c r="BN124" i="103"/>
  <c r="BN107" i="103"/>
  <c r="BL169" i="103"/>
  <c r="DJ125" i="103"/>
  <c r="BJ131" i="103"/>
  <c r="D161" i="102"/>
  <c r="E161" i="102" s="1"/>
  <c r="CI18" i="103"/>
  <c r="BI132" i="103"/>
  <c r="BN255" i="103"/>
  <c r="BM51" i="103"/>
  <c r="DJ133" i="103"/>
  <c r="BJ139" i="103"/>
  <c r="BK257" i="103"/>
  <c r="BL124" i="103"/>
  <c r="BK139" i="103"/>
  <c r="BL257" i="103"/>
  <c r="BO208" i="103"/>
  <c r="BN46" i="103"/>
  <c r="BN199" i="103"/>
  <c r="DJ20" i="103"/>
  <c r="BN277" i="103"/>
  <c r="DJ108" i="103"/>
  <c r="BK131" i="103"/>
  <c r="DJ147" i="103"/>
  <c r="DJ170" i="103"/>
  <c r="BI280" i="103"/>
  <c r="BI13" i="103"/>
  <c r="DJ13" i="103"/>
  <c r="BM236" i="103"/>
  <c r="BM280" i="103"/>
  <c r="BM13" i="103"/>
  <c r="BK158" i="103"/>
  <c r="BN13" i="103"/>
  <c r="BI16" i="103"/>
  <c r="BL16" i="103"/>
  <c r="BJ16" i="103"/>
  <c r="BN56" i="103"/>
  <c r="BH91" i="103"/>
  <c r="BM91" i="103"/>
  <c r="DJ91" i="103"/>
  <c r="BN91" i="103"/>
  <c r="BH214" i="103"/>
  <c r="BN214" i="103"/>
  <c r="BI91" i="103"/>
  <c r="BI192" i="103"/>
  <c r="BI214" i="103"/>
  <c r="BL219" i="103"/>
  <c r="D157" i="102"/>
  <c r="BL86" i="103"/>
  <c r="BN86" i="103"/>
  <c r="BK91" i="103"/>
  <c r="BH104" i="103"/>
  <c r="BN104" i="103"/>
  <c r="BJ192" i="103"/>
  <c r="BJ214" i="103"/>
  <c r="BM219" i="103"/>
  <c r="BI86" i="103"/>
  <c r="BL192" i="103"/>
  <c r="BK214" i="103"/>
  <c r="BM122" i="103"/>
  <c r="BK122" i="103"/>
  <c r="DJ123" i="103"/>
  <c r="BN122" i="103"/>
  <c r="BL244" i="103"/>
  <c r="BM244" i="103"/>
  <c r="BN244" i="103"/>
  <c r="BI244" i="103"/>
  <c r="BJ122" i="103"/>
  <c r="DJ41" i="103"/>
  <c r="BN100" i="103"/>
  <c r="BH100" i="103"/>
  <c r="BM100" i="103"/>
  <c r="BL100" i="103"/>
  <c r="BJ100" i="103"/>
  <c r="BI100" i="103"/>
  <c r="BK178" i="103"/>
  <c r="DJ179" i="103"/>
  <c r="BK183" i="103"/>
  <c r="BL211" i="103"/>
  <c r="BN229" i="103"/>
  <c r="BO33" i="103"/>
  <c r="BL280" i="103"/>
  <c r="BL25" i="103"/>
  <c r="BM25" i="103"/>
  <c r="BN25" i="103"/>
  <c r="BH244" i="103"/>
  <c r="BN41" i="103"/>
  <c r="BI111" i="103"/>
  <c r="BM183" i="103"/>
  <c r="BI240" i="103"/>
  <c r="BK240" i="103"/>
  <c r="BN240" i="103"/>
  <c r="BM240" i="103"/>
  <c r="BL240" i="103"/>
  <c r="BM211" i="103"/>
  <c r="DJ212" i="103"/>
  <c r="BH122" i="103"/>
  <c r="BH211" i="103"/>
  <c r="CQ5" i="103"/>
  <c r="I30" i="102" s="1"/>
  <c r="CQ3" i="103"/>
  <c r="J63" i="102" s="1"/>
  <c r="BI117" i="103"/>
  <c r="BJ211" i="103"/>
  <c r="BM117" i="103"/>
  <c r="BJ183" i="103"/>
  <c r="BK211" i="103"/>
  <c r="BJ240" i="103"/>
  <c r="BI10" i="103"/>
  <c r="BI19" i="103"/>
  <c r="BI81" i="103"/>
  <c r="BH96" i="103"/>
  <c r="BI108" i="103"/>
  <c r="BJ164" i="103"/>
  <c r="BH203" i="103"/>
  <c r="BJ234" i="103"/>
  <c r="BM260" i="103"/>
  <c r="D115" i="102"/>
  <c r="E115" i="102" s="1"/>
  <c r="BO175" i="103"/>
  <c r="BK19" i="103"/>
  <c r="BM29" i="103"/>
  <c r="BO34" i="103"/>
  <c r="BI61" i="103"/>
  <c r="BK77" i="103"/>
  <c r="BL96" i="103"/>
  <c r="BJ108" i="103"/>
  <c r="BJ133" i="103"/>
  <c r="BM164" i="103"/>
  <c r="BJ203" i="103"/>
  <c r="BK234" i="103"/>
  <c r="BK237" i="103"/>
  <c r="BN260" i="103"/>
  <c r="BM3" i="103"/>
  <c r="BL19" i="103"/>
  <c r="BN29" i="103"/>
  <c r="BJ61" i="103"/>
  <c r="BM96" i="103"/>
  <c r="BL108" i="103"/>
  <c r="BL184" i="103"/>
  <c r="BK203" i="103"/>
  <c r="BI220" i="103"/>
  <c r="BL234" i="103"/>
  <c r="BL237" i="103"/>
  <c r="BH257" i="103"/>
  <c r="BH277" i="103"/>
  <c r="D35" i="102"/>
  <c r="BN3" i="103"/>
  <c r="BM19" i="103"/>
  <c r="BH23" i="103"/>
  <c r="BI39" i="103"/>
  <c r="BO49" i="103"/>
  <c r="BK61" i="103"/>
  <c r="BN96" i="103"/>
  <c r="BK105" i="103"/>
  <c r="BM108" i="103"/>
  <c r="BI131" i="103"/>
  <c r="BM184" i="103"/>
  <c r="BK199" i="103"/>
  <c r="BL203" i="103"/>
  <c r="BN215" i="103"/>
  <c r="BK220" i="103"/>
  <c r="BM234" i="103"/>
  <c r="BM237" i="103"/>
  <c r="BJ257" i="103"/>
  <c r="BK277" i="103"/>
  <c r="BM61" i="103"/>
  <c r="BI231" i="103"/>
  <c r="BH191" i="103"/>
  <c r="DJ204" i="103"/>
  <c r="DJ221" i="103"/>
  <c r="BM272" i="103"/>
  <c r="BK30" i="103"/>
  <c r="BM17" i="103"/>
  <c r="BN23" i="103"/>
  <c r="BI36" i="103"/>
  <c r="BH106" i="103"/>
  <c r="BJ120" i="103"/>
  <c r="BI127" i="103"/>
  <c r="BN131" i="103"/>
  <c r="BK166" i="103"/>
  <c r="BK191" i="103"/>
  <c r="DJ200" i="103"/>
  <c r="BH213" i="103"/>
  <c r="D149" i="102"/>
  <c r="E149" i="102" s="1"/>
  <c r="BH59" i="103"/>
  <c r="BJ106" i="103"/>
  <c r="BH235" i="103"/>
  <c r="BN7" i="103"/>
  <c r="BL36" i="103"/>
  <c r="BM55" i="103"/>
  <c r="BJ98" i="103"/>
  <c r="BJ157" i="103"/>
  <c r="BN166" i="103"/>
  <c r="BM191" i="103"/>
  <c r="BN210" i="103"/>
  <c r="BJ213" i="103"/>
  <c r="BI235" i="103"/>
  <c r="BL238" i="103"/>
  <c r="DJ258" i="103"/>
  <c r="BI262" i="103"/>
  <c r="BN19" i="103"/>
  <c r="BL272" i="103"/>
  <c r="BK231" i="103"/>
  <c r="BM257" i="103"/>
  <c r="BN123" i="103"/>
  <c r="BL231" i="103"/>
  <c r="BH7" i="103"/>
  <c r="BL55" i="103"/>
  <c r="BN127" i="103"/>
  <c r="BL191" i="103"/>
  <c r="BI213" i="103"/>
  <c r="BN9" i="103"/>
  <c r="BM36" i="103"/>
  <c r="DJ50" i="103"/>
  <c r="BN55" i="103"/>
  <c r="BJ59" i="103"/>
  <c r="BJ94" i="103"/>
  <c r="BL98" i="103"/>
  <c r="DJ101" i="103"/>
  <c r="BN106" i="103"/>
  <c r="BI146" i="103"/>
  <c r="BK157" i="103"/>
  <c r="BN191" i="103"/>
  <c r="BM235" i="103"/>
  <c r="BM238" i="103"/>
  <c r="BH247" i="103"/>
  <c r="DJ250" i="103"/>
  <c r="BJ255" i="103"/>
  <c r="BL61" i="103"/>
  <c r="BN108" i="103"/>
  <c r="BN234" i="103"/>
  <c r="BO148" i="103"/>
  <c r="BI123" i="103"/>
  <c r="BH194" i="103"/>
  <c r="BH17" i="103"/>
  <c r="BH30" i="103"/>
  <c r="BN61" i="103"/>
  <c r="BM123" i="103"/>
  <c r="BK50" i="103"/>
  <c r="BJ55" i="103"/>
  <c r="DJ235" i="103"/>
  <c r="BK9" i="103"/>
  <c r="DJ19" i="103"/>
  <c r="BK101" i="103"/>
  <c r="BH210" i="103"/>
  <c r="BM231" i="103"/>
  <c r="BL9" i="103"/>
  <c r="BK36" i="103"/>
  <c r="DJ61" i="103"/>
  <c r="BN231" i="103"/>
  <c r="BM9" i="103"/>
  <c r="DJ30" i="103"/>
  <c r="BI59" i="103"/>
  <c r="DJ124" i="103"/>
  <c r="BN94" i="103"/>
  <c r="BN98" i="103"/>
  <c r="BI121" i="103"/>
  <c r="BI124" i="103"/>
  <c r="BN146" i="103"/>
  <c r="DJ232" i="103"/>
  <c r="BN235" i="103"/>
  <c r="BI247" i="103"/>
  <c r="BK255" i="103"/>
  <c r="BN258" i="103"/>
  <c r="BN43" i="103"/>
  <c r="BM43" i="103"/>
  <c r="BL43" i="103"/>
  <c r="BI43" i="103"/>
  <c r="BJ43" i="103"/>
  <c r="BM67" i="103"/>
  <c r="BJ67" i="103"/>
  <c r="BN67" i="103"/>
  <c r="BK67" i="103"/>
  <c r="BI177" i="103"/>
  <c r="BM177" i="103"/>
  <c r="BK177" i="103"/>
  <c r="BH177" i="103"/>
  <c r="DJ178" i="103"/>
  <c r="BL185" i="103"/>
  <c r="BK185" i="103"/>
  <c r="BH145" i="103"/>
  <c r="BI168" i="103"/>
  <c r="BL168" i="103"/>
  <c r="BK168" i="103"/>
  <c r="BL14" i="103"/>
  <c r="BI185" i="103"/>
  <c r="BI209" i="103"/>
  <c r="BN209" i="103"/>
  <c r="BM209" i="103"/>
  <c r="DJ210" i="103"/>
  <c r="BN223" i="103"/>
  <c r="CI16" i="103"/>
  <c r="BK57" i="103"/>
  <c r="BJ197" i="103"/>
  <c r="D122" i="102"/>
  <c r="E122" i="102" s="1"/>
  <c r="D163" i="102"/>
  <c r="E163" i="102" s="1"/>
  <c r="DJ5" i="103"/>
  <c r="BL5" i="103"/>
  <c r="BJ60" i="103"/>
  <c r="BK76" i="103"/>
  <c r="BH118" i="103"/>
  <c r="BL141" i="103"/>
  <c r="BM145" i="103"/>
  <c r="BK153" i="103"/>
  <c r="BN168" i="103"/>
  <c r="BN185" i="103"/>
  <c r="BK197" i="103"/>
  <c r="DJ244" i="103"/>
  <c r="BJ250" i="103"/>
  <c r="DJ251" i="103"/>
  <c r="BN250" i="103"/>
  <c r="BH5" i="103"/>
  <c r="BJ21" i="103"/>
  <c r="BI27" i="103"/>
  <c r="BN27" i="103"/>
  <c r="BO27" i="103"/>
  <c r="BI34" i="103"/>
  <c r="BH44" i="103"/>
  <c r="BL47" i="103"/>
  <c r="BK60" i="103"/>
  <c r="BL76" i="103"/>
  <c r="BJ95" i="103"/>
  <c r="DJ95" i="103"/>
  <c r="DJ102" i="103"/>
  <c r="BL102" i="103"/>
  <c r="BJ102" i="103"/>
  <c r="BH102" i="103"/>
  <c r="BM102" i="103"/>
  <c r="BI102" i="103"/>
  <c r="BJ118" i="103"/>
  <c r="BH128" i="103"/>
  <c r="BI135" i="103"/>
  <c r="BH135" i="103"/>
  <c r="DJ136" i="103"/>
  <c r="BJ138" i="103"/>
  <c r="BM141" i="103"/>
  <c r="BN158" i="103"/>
  <c r="BL158" i="103"/>
  <c r="DJ159" i="103"/>
  <c r="BI161" i="103"/>
  <c r="BL197" i="103"/>
  <c r="BL209" i="103"/>
  <c r="BH224" i="103"/>
  <c r="BN224" i="103"/>
  <c r="BL224" i="103"/>
  <c r="BJ224" i="103"/>
  <c r="BM224" i="103"/>
  <c r="BK224" i="103"/>
  <c r="BK250" i="103"/>
  <c r="BI5" i="103"/>
  <c r="BO226" i="103"/>
  <c r="CI6" i="103"/>
  <c r="BL21" i="103"/>
  <c r="BL27" i="103"/>
  <c r="BJ34" i="103"/>
  <c r="BI44" i="103"/>
  <c r="BM47" i="103"/>
  <c r="DJ54" i="103"/>
  <c r="BM60" i="103"/>
  <c r="BM76" i="103"/>
  <c r="BK95" i="103"/>
  <c r="BL99" i="103"/>
  <c r="BM99" i="103"/>
  <c r="BI99" i="103"/>
  <c r="BN102" i="103"/>
  <c r="BH115" i="103"/>
  <c r="BN115" i="103"/>
  <c r="BM115" i="103"/>
  <c r="BK115" i="103"/>
  <c r="BI128" i="103"/>
  <c r="BK135" i="103"/>
  <c r="BK138" i="103"/>
  <c r="BH158" i="103"/>
  <c r="BM197" i="103"/>
  <c r="BN205" i="103"/>
  <c r="BI205" i="103"/>
  <c r="BI224" i="103"/>
  <c r="BL250" i="103"/>
  <c r="DJ266" i="103"/>
  <c r="BN265" i="103"/>
  <c r="BJ265" i="103"/>
  <c r="BH265" i="103"/>
  <c r="BJ5" i="103"/>
  <c r="BO10" i="103"/>
  <c r="BM10" i="103"/>
  <c r="BM27" i="103"/>
  <c r="BK34" i="103"/>
  <c r="DJ40" i="103"/>
  <c r="BK44" i="103"/>
  <c r="BN47" i="103"/>
  <c r="BO58" i="103"/>
  <c r="DJ58" i="103"/>
  <c r="BM84" i="103"/>
  <c r="BN84" i="103"/>
  <c r="BJ84" i="103"/>
  <c r="DJ84" i="103"/>
  <c r="BK84" i="103"/>
  <c r="BH84" i="103"/>
  <c r="BI115" i="103"/>
  <c r="BJ128" i="103"/>
  <c r="BL135" i="103"/>
  <c r="DJ146" i="103"/>
  <c r="BI158" i="103"/>
  <c r="BI166" i="103"/>
  <c r="BJ166" i="103"/>
  <c r="DJ167" i="103"/>
  <c r="DJ169" i="103"/>
  <c r="BN173" i="103"/>
  <c r="DJ186" i="103"/>
  <c r="BH201" i="103"/>
  <c r="BL201" i="103"/>
  <c r="BK205" i="103"/>
  <c r="BH255" i="103"/>
  <c r="BK265" i="103"/>
  <c r="BK5" i="103"/>
  <c r="BH10" i="103"/>
  <c r="BL41" i="103"/>
  <c r="BK41" i="103"/>
  <c r="BH41" i="103"/>
  <c r="BI41" i="103"/>
  <c r="BJ41" i="103"/>
  <c r="BL44" i="103"/>
  <c r="DJ55" i="103"/>
  <c r="BI55" i="103"/>
  <c r="BH55" i="103"/>
  <c r="BI58" i="103"/>
  <c r="BJ115" i="103"/>
  <c r="BL125" i="103"/>
  <c r="BM125" i="103"/>
  <c r="BI125" i="103"/>
  <c r="BM135" i="103"/>
  <c r="DJ142" i="103"/>
  <c r="BJ158" i="103"/>
  <c r="BH166" i="103"/>
  <c r="BJ186" i="103"/>
  <c r="BI186" i="103"/>
  <c r="BN186" i="103"/>
  <c r="BL186" i="103"/>
  <c r="BK186" i="103"/>
  <c r="BI201" i="103"/>
  <c r="BI255" i="103"/>
  <c r="BL265" i="103"/>
  <c r="BK274" i="103"/>
  <c r="BL134" i="103"/>
  <c r="DJ135" i="103"/>
  <c r="BH134" i="103"/>
  <c r="BN134" i="103"/>
  <c r="BM134" i="103"/>
  <c r="BJ134" i="103"/>
  <c r="BK134" i="103"/>
  <c r="D106" i="102"/>
  <c r="E106" i="102" s="1"/>
  <c r="BJ22" i="103"/>
  <c r="DJ67" i="103"/>
  <c r="BJ116" i="103"/>
  <c r="BI136" i="103"/>
  <c r="BJ155" i="103"/>
  <c r="BJ228" i="103"/>
  <c r="BH271" i="103"/>
  <c r="BM275" i="103"/>
  <c r="DJ279" i="103"/>
  <c r="BK209" i="103"/>
  <c r="BI228" i="103"/>
  <c r="BJ14" i="103"/>
  <c r="BH168" i="103"/>
  <c r="BI141" i="103"/>
  <c r="D141" i="102"/>
  <c r="E141" i="102" s="1"/>
  <c r="BM5" i="103"/>
  <c r="BH65" i="103"/>
  <c r="BN198" i="103"/>
  <c r="BL198" i="103"/>
  <c r="DJ199" i="103"/>
  <c r="BM31" i="103"/>
  <c r="BO31" i="103"/>
  <c r="BN31" i="103"/>
  <c r="BI74" i="103"/>
  <c r="DJ92" i="103"/>
  <c r="BN92" i="103"/>
  <c r="BI92" i="103"/>
  <c r="BH92" i="103"/>
  <c r="BH228" i="103"/>
  <c r="BM38" i="103"/>
  <c r="BJ85" i="103"/>
  <c r="BH112" i="103"/>
  <c r="BL179" i="103"/>
  <c r="BK179" i="103"/>
  <c r="BH179" i="103"/>
  <c r="BM179" i="103"/>
  <c r="BI179" i="103"/>
  <c r="BL22" i="103"/>
  <c r="BJ271" i="103"/>
  <c r="D86" i="102"/>
  <c r="E86" i="102" s="1"/>
  <c r="D108" i="102"/>
  <c r="E108" i="102" s="1"/>
  <c r="D159" i="102"/>
  <c r="E159" i="102" s="1"/>
  <c r="D175" i="102"/>
  <c r="E175" i="102" s="1"/>
  <c r="BM4" i="103"/>
  <c r="BO12" i="103"/>
  <c r="BJ20" i="103"/>
  <c r="DJ22" i="103"/>
  <c r="BN71" i="103"/>
  <c r="BM71" i="103"/>
  <c r="BL71" i="103"/>
  <c r="BJ71" i="103"/>
  <c r="BH82" i="103"/>
  <c r="BH127" i="103"/>
  <c r="BM127" i="103"/>
  <c r="BI152" i="103"/>
  <c r="DJ180" i="103"/>
  <c r="BK222" i="103"/>
  <c r="BL276" i="103"/>
  <c r="BK276" i="103"/>
  <c r="DJ277" i="103"/>
  <c r="E31" i="102"/>
  <c r="F31" i="102"/>
  <c r="BH197" i="103"/>
  <c r="BO76" i="103"/>
  <c r="BI76" i="103"/>
  <c r="BH76" i="103"/>
  <c r="BN76" i="103"/>
  <c r="BM185" i="103"/>
  <c r="BO128" i="103"/>
  <c r="BN128" i="103"/>
  <c r="DJ129" i="103"/>
  <c r="BL128" i="103"/>
  <c r="BM128" i="103"/>
  <c r="BI151" i="103"/>
  <c r="BJ151" i="103"/>
  <c r="BN151" i="103"/>
  <c r="BM151" i="103"/>
  <c r="BK151" i="103"/>
  <c r="DJ34" i="103"/>
  <c r="BH74" i="103"/>
  <c r="BK278" i="103"/>
  <c r="BH52" i="103"/>
  <c r="BM52" i="103"/>
  <c r="BK52" i="103"/>
  <c r="BI85" i="103"/>
  <c r="BH206" i="103"/>
  <c r="BN206" i="103"/>
  <c r="BM206" i="103"/>
  <c r="BI206" i="103"/>
  <c r="BL206" i="103"/>
  <c r="BK206" i="103"/>
  <c r="BJ206" i="103"/>
  <c r="BI225" i="103"/>
  <c r="BN225" i="103"/>
  <c r="BJ65" i="103"/>
  <c r="BI116" i="103"/>
  <c r="BN116" i="103"/>
  <c r="BL31" i="103"/>
  <c r="BO42" i="103"/>
  <c r="BK42" i="103"/>
  <c r="BI42" i="103"/>
  <c r="BN49" i="103"/>
  <c r="BM65" i="103"/>
  <c r="BM85" i="103"/>
  <c r="BM92" i="103"/>
  <c r="BI130" i="103"/>
  <c r="BJ130" i="103"/>
  <c r="BM279" i="103"/>
  <c r="BL279" i="103"/>
  <c r="BN279" i="103"/>
  <c r="BJ279" i="103"/>
  <c r="BI267" i="103"/>
  <c r="BH267" i="103"/>
  <c r="BH12" i="103"/>
  <c r="BL18" i="103"/>
  <c r="DJ18" i="103"/>
  <c r="BK20" i="103"/>
  <c r="DJ29" i="103"/>
  <c r="BI29" i="103"/>
  <c r="BH29" i="103"/>
  <c r="DJ52" i="103"/>
  <c r="BI82" i="103"/>
  <c r="BJ152" i="103"/>
  <c r="BH171" i="103"/>
  <c r="BL171" i="103"/>
  <c r="BJ180" i="103"/>
  <c r="BL180" i="103"/>
  <c r="DJ181" i="103"/>
  <c r="BK180" i="103"/>
  <c r="BN180" i="103"/>
  <c r="DJ219" i="103"/>
  <c r="BM218" i="103"/>
  <c r="BH218" i="103"/>
  <c r="BL218" i="103"/>
  <c r="BK218" i="103"/>
  <c r="BJ218" i="103"/>
  <c r="BL222" i="103"/>
  <c r="BK236" i="103"/>
  <c r="BJ236" i="103"/>
  <c r="BH236" i="103"/>
  <c r="DJ237" i="103"/>
  <c r="BM263" i="103"/>
  <c r="BL263" i="103"/>
  <c r="BK263" i="103"/>
  <c r="BI263" i="103"/>
  <c r="DJ264" i="103"/>
  <c r="BJ263" i="103"/>
  <c r="BN263" i="103"/>
  <c r="BH263" i="103"/>
  <c r="BL267" i="103"/>
  <c r="BH276" i="103"/>
  <c r="BH67" i="103"/>
  <c r="CI12" i="103"/>
  <c r="DJ47" i="103"/>
  <c r="BJ47" i="103"/>
  <c r="BI47" i="103"/>
  <c r="BJ149" i="103"/>
  <c r="BN177" i="103"/>
  <c r="BN226" i="103"/>
  <c r="BL149" i="103"/>
  <c r="CI14" i="103"/>
  <c r="BN216" i="103"/>
  <c r="BM216" i="103"/>
  <c r="BH85" i="103"/>
  <c r="DJ85" i="103"/>
  <c r="BI65" i="103"/>
  <c r="BL88" i="103"/>
  <c r="D173" i="102"/>
  <c r="E173" i="102" s="1"/>
  <c r="BN88" i="103"/>
  <c r="BI198" i="103"/>
  <c r="BJ225" i="103"/>
  <c r="BL65" i="103"/>
  <c r="BL92" i="103"/>
  <c r="BN52" i="103"/>
  <c r="BM198" i="103"/>
  <c r="BK228" i="103"/>
  <c r="BL252" i="103"/>
  <c r="BN252" i="103"/>
  <c r="BM252" i="103"/>
  <c r="DJ10" i="103"/>
  <c r="BI12" i="103"/>
  <c r="BM18" i="103"/>
  <c r="BJ29" i="103"/>
  <c r="DJ42" i="103"/>
  <c r="BO53" i="103"/>
  <c r="BK53" i="103"/>
  <c r="BL53" i="103"/>
  <c r="BI71" i="103"/>
  <c r="BJ82" i="103"/>
  <c r="DJ86" i="103"/>
  <c r="BM86" i="103"/>
  <c r="BM90" i="103"/>
  <c r="BJ90" i="103"/>
  <c r="DJ90" i="103"/>
  <c r="BJ113" i="103"/>
  <c r="BK113" i="103"/>
  <c r="DJ114" i="103"/>
  <c r="BJ127" i="103"/>
  <c r="BI171" i="103"/>
  <c r="BI180" i="103"/>
  <c r="BK208" i="103"/>
  <c r="BJ208" i="103"/>
  <c r="BH208" i="103"/>
  <c r="BI208" i="103"/>
  <c r="DJ226" i="103"/>
  <c r="DJ229" i="103"/>
  <c r="BI236" i="103"/>
  <c r="BJ239" i="103"/>
  <c r="BK239" i="103"/>
  <c r="BL256" i="103"/>
  <c r="BM267" i="103"/>
  <c r="BI276" i="103"/>
  <c r="BI145" i="103"/>
  <c r="BN145" i="103"/>
  <c r="BJ243" i="103"/>
  <c r="BN243" i="103"/>
  <c r="BK243" i="103"/>
  <c r="BH43" i="103"/>
  <c r="BK141" i="103"/>
  <c r="BN141" i="103"/>
  <c r="DJ154" i="103"/>
  <c r="BN153" i="103"/>
  <c r="BM153" i="103"/>
  <c r="BJ177" i="103"/>
  <c r="BH185" i="103"/>
  <c r="BH57" i="103"/>
  <c r="BI134" i="103"/>
  <c r="BH153" i="103"/>
  <c r="BH190" i="103"/>
  <c r="BJ190" i="103"/>
  <c r="BI197" i="103"/>
  <c r="BH47" i="103"/>
  <c r="BH60" i="103"/>
  <c r="DJ60" i="103"/>
  <c r="BJ76" i="103"/>
  <c r="BM118" i="103"/>
  <c r="BN118" i="103"/>
  <c r="BK118" i="103"/>
  <c r="BL145" i="103"/>
  <c r="BI153" i="103"/>
  <c r="BM168" i="103"/>
  <c r="BJ209" i="103"/>
  <c r="BJ161" i="103"/>
  <c r="BN161" i="103"/>
  <c r="BL161" i="103"/>
  <c r="DJ162" i="103"/>
  <c r="BI195" i="103"/>
  <c r="BN195" i="103"/>
  <c r="BK195" i="103"/>
  <c r="BJ195" i="103"/>
  <c r="DJ198" i="103"/>
  <c r="BN5" i="103"/>
  <c r="BJ88" i="103"/>
  <c r="BH151" i="103"/>
  <c r="BH195" i="103"/>
  <c r="BK216" i="103"/>
  <c r="BH248" i="103"/>
  <c r="DJ249" i="103"/>
  <c r="BN248" i="103"/>
  <c r="BJ248" i="103"/>
  <c r="BM248" i="103"/>
  <c r="BL248" i="103"/>
  <c r="BK248" i="103"/>
  <c r="BL35" i="103"/>
  <c r="BN35" i="103"/>
  <c r="BM35" i="103"/>
  <c r="DJ44" i="103"/>
  <c r="BJ112" i="103"/>
  <c r="BI112" i="103"/>
  <c r="BN126" i="103"/>
  <c r="BM126" i="103"/>
  <c r="BL126" i="103"/>
  <c r="BJ126" i="103"/>
  <c r="BI126" i="103"/>
  <c r="BM195" i="103"/>
  <c r="BH198" i="103"/>
  <c r="BL216" i="103"/>
  <c r="BL221" i="103"/>
  <c r="BM221" i="103"/>
  <c r="BH221" i="103"/>
  <c r="BK221" i="103"/>
  <c r="BJ221" i="103"/>
  <c r="BI221" i="103"/>
  <c r="BI275" i="103"/>
  <c r="BJ275" i="103"/>
  <c r="BH275" i="103"/>
  <c r="BN275" i="103"/>
  <c r="BM15" i="103"/>
  <c r="BH35" i="103"/>
  <c r="BI52" i="103"/>
  <c r="BJ74" i="103"/>
  <c r="BJ92" i="103"/>
  <c r="BH136" i="103"/>
  <c r="DJ137" i="103"/>
  <c r="BM271" i="103"/>
  <c r="BN271" i="103"/>
  <c r="BK271" i="103"/>
  <c r="BL271" i="103"/>
  <c r="BI35" i="103"/>
  <c r="BH45" i="103"/>
  <c r="BJ52" i="103"/>
  <c r="BL74" i="103"/>
  <c r="BK85" i="103"/>
  <c r="BL112" i="103"/>
  <c r="CI15" i="103"/>
  <c r="BI20" i="103"/>
  <c r="BM20" i="103"/>
  <c r="BN20" i="103"/>
  <c r="BJ35" i="103"/>
  <c r="BN74" i="103"/>
  <c r="BK136" i="103"/>
  <c r="BL152" i="103"/>
  <c r="DJ153" i="103"/>
  <c r="BN152" i="103"/>
  <c r="BM152" i="103"/>
  <c r="BL175" i="103"/>
  <c r="DJ196" i="103"/>
  <c r="DJ207" i="103"/>
  <c r="BL225" i="103"/>
  <c r="BK242" i="103"/>
  <c r="BN242" i="103"/>
  <c r="BM242" i="103"/>
  <c r="BJ242" i="103"/>
  <c r="BL242" i="103"/>
  <c r="BH20" i="103"/>
  <c r="BK35" i="103"/>
  <c r="BH42" i="103"/>
  <c r="BL89" i="103"/>
  <c r="BM89" i="103"/>
  <c r="BI89" i="103"/>
  <c r="BN112" i="103"/>
  <c r="BN130" i="103"/>
  <c r="BL136" i="103"/>
  <c r="BH152" i="103"/>
  <c r="BH188" i="103"/>
  <c r="BL188" i="103"/>
  <c r="BJ188" i="103"/>
  <c r="BJ196" i="103"/>
  <c r="DJ197" i="103"/>
  <c r="BN196" i="103"/>
  <c r="BK196" i="103"/>
  <c r="BL196" i="103"/>
  <c r="BM225" i="103"/>
  <c r="BM228" i="103"/>
  <c r="BH242" i="103"/>
  <c r="BH252" i="103"/>
  <c r="DJ256" i="103"/>
  <c r="BH279" i="103"/>
  <c r="D31" i="102"/>
  <c r="BJ12" i="103"/>
  <c r="BN26" i="103"/>
  <c r="BM26" i="103"/>
  <c r="BJ26" i="103"/>
  <c r="BK29" i="103"/>
  <c r="BI50" i="103"/>
  <c r="BH50" i="103"/>
  <c r="BJ53" i="103"/>
  <c r="BL82" i="103"/>
  <c r="BH86" i="103"/>
  <c r="BH90" i="103"/>
  <c r="BH124" i="103"/>
  <c r="BK127" i="103"/>
  <c r="BI157" i="103"/>
  <c r="DJ158" i="103"/>
  <c r="BM157" i="103"/>
  <c r="BN157" i="103"/>
  <c r="BJ171" i="103"/>
  <c r="BL236" i="103"/>
  <c r="BH239" i="103"/>
  <c r="DJ243" i="103"/>
  <c r="BN267" i="103"/>
  <c r="BM276" i="103"/>
  <c r="BI183" i="103"/>
  <c r="DJ184" i="103"/>
  <c r="BL241" i="103"/>
  <c r="BI241" i="103"/>
  <c r="BH241" i="103"/>
  <c r="DJ80" i="103"/>
  <c r="BI80" i="103"/>
  <c r="BM106" i="103"/>
  <c r="DJ106" i="103"/>
  <c r="BH131" i="103"/>
  <c r="BI139" i="103"/>
  <c r="BH139" i="103"/>
  <c r="BH183" i="103"/>
  <c r="BH220" i="103"/>
  <c r="BM241" i="103"/>
  <c r="BM258" i="103"/>
  <c r="BH13" i="103"/>
  <c r="BH33" i="103"/>
  <c r="BH51" i="103"/>
  <c r="BI104" i="103"/>
  <c r="BI107" i="103"/>
  <c r="BJ110" i="103"/>
  <c r="BI140" i="103"/>
  <c r="DJ161" i="103"/>
  <c r="BN160" i="103"/>
  <c r="BI266" i="103"/>
  <c r="BL270" i="103"/>
  <c r="BM270" i="103"/>
  <c r="BO64" i="103"/>
  <c r="DJ185" i="103"/>
  <c r="BN184" i="103"/>
  <c r="BI215" i="103"/>
  <c r="DJ216" i="103"/>
  <c r="BI3" i="103"/>
  <c r="BJ13" i="103"/>
  <c r="BO17" i="103"/>
  <c r="BO273" i="103"/>
  <c r="BO23" i="103"/>
  <c r="BH25" i="103"/>
  <c r="BK33" i="103"/>
  <c r="BI46" i="103"/>
  <c r="BI51" i="103"/>
  <c r="BJ64" i="103"/>
  <c r="BJ78" i="103"/>
  <c r="BJ104" i="103"/>
  <c r="BJ107" i="103"/>
  <c r="BL110" i="103"/>
  <c r="BM140" i="103"/>
  <c r="BH160" i="103"/>
  <c r="BK167" i="103"/>
  <c r="BJ167" i="103"/>
  <c r="BH167" i="103"/>
  <c r="BI174" i="103"/>
  <c r="BH178" i="103"/>
  <c r="BI184" i="103"/>
  <c r="BK215" i="103"/>
  <c r="BM254" i="103"/>
  <c r="BL266" i="103"/>
  <c r="BH270" i="103"/>
  <c r="BL273" i="103"/>
  <c r="BM277" i="103"/>
  <c r="BL277" i="103"/>
  <c r="BJ277" i="103"/>
  <c r="BK3" i="103"/>
  <c r="BO38" i="103"/>
  <c r="BL33" i="103"/>
  <c r="BL104" i="103"/>
  <c r="BN110" i="103"/>
  <c r="BI160" i="103"/>
  <c r="BJ174" i="103"/>
  <c r="BI178" i="103"/>
  <c r="BJ184" i="103"/>
  <c r="BL215" i="103"/>
  <c r="BH237" i="103"/>
  <c r="BJ237" i="103"/>
  <c r="BI270" i="103"/>
  <c r="BO51" i="103"/>
  <c r="BL140" i="103"/>
  <c r="BK140" i="103"/>
  <c r="BJ140" i="103"/>
  <c r="BH140" i="103"/>
  <c r="BK13" i="103"/>
  <c r="BJ25" i="103"/>
  <c r="BJ46" i="103"/>
  <c r="BM64" i="103"/>
  <c r="BL78" i="103"/>
  <c r="BK107" i="103"/>
  <c r="BL3" i="103"/>
  <c r="BK7" i="103"/>
  <c r="BI9" i="103"/>
  <c r="BL13" i="103"/>
  <c r="BI17" i="103"/>
  <c r="BI23" i="103"/>
  <c r="BI30" i="103"/>
  <c r="BK46" i="103"/>
  <c r="BL51" i="103"/>
  <c r="BN78" i="103"/>
  <c r="BJ91" i="103"/>
  <c r="BL94" i="103"/>
  <c r="BM104" i="103"/>
  <c r="BM107" i="103"/>
  <c r="BM114" i="103"/>
  <c r="BN114" i="103"/>
  <c r="BK114" i="103"/>
  <c r="BH114" i="103"/>
  <c r="BH132" i="103"/>
  <c r="BK160" i="103"/>
  <c r="BL167" i="103"/>
  <c r="BL174" i="103"/>
  <c r="BJ178" i="103"/>
  <c r="BK184" i="103"/>
  <c r="BI199" i="103"/>
  <c r="BI203" i="103"/>
  <c r="BM215" i="103"/>
  <c r="BJ231" i="103"/>
  <c r="BI237" i="103"/>
  <c r="BK270" i="103"/>
  <c r="BI277" i="103"/>
  <c r="DJ215" i="103"/>
  <c r="DJ241" i="103"/>
  <c r="BM81" i="103"/>
  <c r="BI96" i="103"/>
  <c r="BM111" i="103"/>
  <c r="BL120" i="103"/>
  <c r="BJ123" i="103"/>
  <c r="BK146" i="103"/>
  <c r="BJ96" i="103"/>
  <c r="BH108" i="103"/>
  <c r="BN120" i="103"/>
  <c r="BK123" i="103"/>
  <c r="BL146" i="103"/>
  <c r="C210" i="102"/>
  <c r="BI63" i="103"/>
  <c r="BH63" i="103"/>
  <c r="BM63" i="103"/>
  <c r="DJ63" i="103"/>
  <c r="BK63" i="103"/>
  <c r="BO63" i="103"/>
  <c r="BN63" i="103"/>
  <c r="BL63" i="103"/>
  <c r="BJ63" i="103"/>
  <c r="D81" i="102"/>
  <c r="D97" i="102"/>
  <c r="D112" i="102"/>
  <c r="D87" i="102"/>
  <c r="D162" i="102"/>
  <c r="D127" i="102"/>
  <c r="D140" i="102"/>
  <c r="D156" i="102"/>
  <c r="D168" i="102"/>
  <c r="G62" i="102"/>
  <c r="E62" i="102"/>
  <c r="D91" i="102"/>
  <c r="D107" i="102"/>
  <c r="D121" i="102"/>
  <c r="D137" i="102"/>
  <c r="D150" i="102"/>
  <c r="BJ66" i="103"/>
  <c r="BI66" i="103"/>
  <c r="BN66" i="103"/>
  <c r="BL66" i="103"/>
  <c r="BO66" i="103"/>
  <c r="BM66" i="103"/>
  <c r="BK66" i="103"/>
  <c r="BH66" i="103"/>
  <c r="D160" i="102"/>
  <c r="D144" i="102"/>
  <c r="D95" i="102"/>
  <c r="D125" i="102"/>
  <c r="D154" i="102"/>
  <c r="BJ75" i="103"/>
  <c r="BI75" i="103"/>
  <c r="BH75" i="103"/>
  <c r="BN75" i="103"/>
  <c r="BM75" i="103"/>
  <c r="BL75" i="103"/>
  <c r="DJ75" i="103"/>
  <c r="BO75" i="103"/>
  <c r="BK75" i="103"/>
  <c r="BH163" i="103"/>
  <c r="BN163" i="103"/>
  <c r="BM163" i="103"/>
  <c r="DJ164" i="103"/>
  <c r="BK163" i="103"/>
  <c r="BO163" i="103"/>
  <c r="BL163" i="103"/>
  <c r="BJ163" i="103"/>
  <c r="BI163" i="103"/>
  <c r="F33" i="102"/>
  <c r="D33" i="102"/>
  <c r="D117" i="102"/>
  <c r="BN97" i="103"/>
  <c r="BM97" i="103"/>
  <c r="BL97" i="103"/>
  <c r="DJ97" i="103"/>
  <c r="BK97" i="103"/>
  <c r="BJ97" i="103"/>
  <c r="BI97" i="103"/>
  <c r="BH97" i="103"/>
  <c r="BO97" i="103"/>
  <c r="D131" i="102"/>
  <c r="E32" i="102"/>
  <c r="D32" i="102"/>
  <c r="D89" i="102"/>
  <c r="D105" i="102"/>
  <c r="D119" i="102"/>
  <c r="D135" i="102"/>
  <c r="D148" i="102"/>
  <c r="D164" i="102"/>
  <c r="D174" i="102"/>
  <c r="BI37" i="103"/>
  <c r="BM37" i="103"/>
  <c r="BO37" i="103"/>
  <c r="BN37" i="103"/>
  <c r="BL37" i="103"/>
  <c r="BJ37" i="103"/>
  <c r="BK37" i="103"/>
  <c r="DJ37" i="103"/>
  <c r="BH37" i="103"/>
  <c r="BN62" i="103"/>
  <c r="BM62" i="103"/>
  <c r="BJ62" i="103"/>
  <c r="BH62" i="103"/>
  <c r="DJ62" i="103"/>
  <c r="BO62" i="103"/>
  <c r="BL62" i="103"/>
  <c r="BK62" i="103"/>
  <c r="BI62" i="103"/>
  <c r="DJ66" i="103"/>
  <c r="D133" i="102"/>
  <c r="F37" i="102"/>
  <c r="E36" i="102"/>
  <c r="D36" i="102"/>
  <c r="D99" i="102"/>
  <c r="D158" i="102"/>
  <c r="D170" i="102"/>
  <c r="BN32" i="103"/>
  <c r="BO32" i="103"/>
  <c r="BM32" i="103"/>
  <c r="BL32" i="103"/>
  <c r="BK32" i="103"/>
  <c r="DJ32" i="103"/>
  <c r="BJ32" i="103"/>
  <c r="BI32" i="103"/>
  <c r="BH32" i="103"/>
  <c r="D103" i="102"/>
  <c r="D146" i="102"/>
  <c r="D85" i="102"/>
  <c r="D101" i="102"/>
  <c r="D116" i="102"/>
  <c r="D83" i="102"/>
  <c r="D114" i="102"/>
  <c r="D129" i="102"/>
  <c r="D142" i="102"/>
  <c r="E33" i="102"/>
  <c r="D93" i="102"/>
  <c r="D109" i="102"/>
  <c r="D123" i="102"/>
  <c r="D139" i="102"/>
  <c r="D152" i="102"/>
  <c r="D166" i="102"/>
  <c r="BO274" i="103"/>
  <c r="BO193" i="103"/>
  <c r="BO189" i="103"/>
  <c r="BO182" i="103"/>
  <c r="BO136" i="103"/>
  <c r="CI5" i="103"/>
  <c r="DJ8" i="103"/>
  <c r="BN8" i="103"/>
  <c r="BM8" i="103"/>
  <c r="BL8" i="103"/>
  <c r="BK8" i="103"/>
  <c r="BJ8" i="103"/>
  <c r="BI8" i="103"/>
  <c r="BH8" i="103"/>
  <c r="BN4" i="103"/>
  <c r="BO7" i="103"/>
  <c r="DJ7" i="103"/>
  <c r="BI218" i="103"/>
  <c r="BI169" i="103"/>
  <c r="BK14" i="103"/>
  <c r="BN15" i="103"/>
  <c r="DJ15" i="103"/>
  <c r="BK16" i="103"/>
  <c r="BO272" i="103"/>
  <c r="BO239" i="103"/>
  <c r="BN18" i="103"/>
  <c r="BK21" i="103"/>
  <c r="BK22" i="103"/>
  <c r="BO35" i="103"/>
  <c r="BH40" i="103"/>
  <c r="BL40" i="103"/>
  <c r="BM45" i="103"/>
  <c r="BL45" i="103"/>
  <c r="BI45" i="103"/>
  <c r="BJ54" i="103"/>
  <c r="BI54" i="103"/>
  <c r="BN54" i="103"/>
  <c r="BO71" i="103"/>
  <c r="BJ79" i="103"/>
  <c r="BI79" i="103"/>
  <c r="BH79" i="103"/>
  <c r="BN79" i="103"/>
  <c r="BM79" i="103"/>
  <c r="BL79" i="103"/>
  <c r="BO82" i="103"/>
  <c r="BN103" i="103"/>
  <c r="BM103" i="103"/>
  <c r="BL103" i="103"/>
  <c r="DJ103" i="103"/>
  <c r="BK103" i="103"/>
  <c r="BJ103" i="103"/>
  <c r="BI103" i="103"/>
  <c r="BH103" i="103"/>
  <c r="BO147" i="103"/>
  <c r="BO165" i="103"/>
  <c r="BM181" i="103"/>
  <c r="BL181" i="103"/>
  <c r="DJ182" i="103"/>
  <c r="BK181" i="103"/>
  <c r="BJ181" i="103"/>
  <c r="BH181" i="103"/>
  <c r="BO181" i="103"/>
  <c r="BN181" i="103"/>
  <c r="BI181" i="103"/>
  <c r="BO15" i="103"/>
  <c r="BO18" i="103"/>
  <c r="BL48" i="103"/>
  <c r="DJ48" i="103"/>
  <c r="BK48" i="103"/>
  <c r="BH48" i="103"/>
  <c r="BL70" i="103"/>
  <c r="DJ70" i="103"/>
  <c r="BK70" i="103"/>
  <c r="BH70" i="103"/>
  <c r="BN70" i="103"/>
  <c r="BO103" i="103"/>
  <c r="BN119" i="103"/>
  <c r="BM119" i="103"/>
  <c r="BL119" i="103"/>
  <c r="DJ120" i="103"/>
  <c r="BK119" i="103"/>
  <c r="BJ119" i="103"/>
  <c r="BI119" i="103"/>
  <c r="BH119" i="103"/>
  <c r="BO135" i="103"/>
  <c r="BO138" i="103"/>
  <c r="BN144" i="103"/>
  <c r="BL144" i="103"/>
  <c r="DJ145" i="103"/>
  <c r="BK144" i="103"/>
  <c r="BI144" i="103"/>
  <c r="BO144" i="103"/>
  <c r="BM144" i="103"/>
  <c r="BJ144" i="103"/>
  <c r="BH144" i="103"/>
  <c r="BN156" i="103"/>
  <c r="BL156" i="103"/>
  <c r="DJ157" i="103"/>
  <c r="BK156" i="103"/>
  <c r="BI156" i="103"/>
  <c r="BO156" i="103"/>
  <c r="BM156" i="103"/>
  <c r="BJ156" i="103"/>
  <c r="BH156" i="103"/>
  <c r="BO4" i="103"/>
  <c r="F61" i="102"/>
  <c r="BO3" i="103"/>
  <c r="DJ3" i="103"/>
  <c r="BH4" i="103"/>
  <c r="BI7" i="103"/>
  <c r="BO222" i="103"/>
  <c r="BO149" i="103"/>
  <c r="BO219" i="103"/>
  <c r="BO194" i="103"/>
  <c r="BO9" i="103"/>
  <c r="DJ9" i="103"/>
  <c r="BK10" i="103"/>
  <c r="BK12" i="103"/>
  <c r="BM14" i="103"/>
  <c r="BH15" i="103"/>
  <c r="BM16" i="103"/>
  <c r="BK17" i="103"/>
  <c r="BH18" i="103"/>
  <c r="BO19" i="103"/>
  <c r="BM21" i="103"/>
  <c r="DJ21" i="103"/>
  <c r="BM22" i="103"/>
  <c r="BJ24" i="103"/>
  <c r="DJ24" i="103"/>
  <c r="BO25" i="103"/>
  <c r="BK26" i="103"/>
  <c r="BK28" i="103"/>
  <c r="BO29" i="103"/>
  <c r="BL30" i="103"/>
  <c r="BM34" i="103"/>
  <c r="BL38" i="103"/>
  <c r="BH38" i="103"/>
  <c r="BJ40" i="103"/>
  <c r="BO41" i="103"/>
  <c r="BL42" i="103"/>
  <c r="BJ45" i="103"/>
  <c r="BI48" i="103"/>
  <c r="BM49" i="103"/>
  <c r="BL49" i="103"/>
  <c r="BI49" i="103"/>
  <c r="BN53" i="103"/>
  <c r="BK54" i="103"/>
  <c r="BL56" i="103"/>
  <c r="DJ56" i="103"/>
  <c r="BK56" i="103"/>
  <c r="BH56" i="103"/>
  <c r="BN68" i="103"/>
  <c r="BM68" i="103"/>
  <c r="BJ68" i="103"/>
  <c r="BH68" i="103"/>
  <c r="BI69" i="103"/>
  <c r="BH69" i="103"/>
  <c r="BM69" i="103"/>
  <c r="DJ69" i="103"/>
  <c r="BK69" i="103"/>
  <c r="BI70" i="103"/>
  <c r="BJ72" i="103"/>
  <c r="BI72" i="103"/>
  <c r="BH72" i="103"/>
  <c r="BN72" i="103"/>
  <c r="BL72" i="103"/>
  <c r="BO79" i="103"/>
  <c r="BJ83" i="103"/>
  <c r="BI83" i="103"/>
  <c r="BH83" i="103"/>
  <c r="BN83" i="103"/>
  <c r="BM83" i="103"/>
  <c r="BL83" i="103"/>
  <c r="BN87" i="103"/>
  <c r="BM87" i="103"/>
  <c r="BL87" i="103"/>
  <c r="DJ87" i="103"/>
  <c r="BK87" i="103"/>
  <c r="BJ87" i="103"/>
  <c r="BI87" i="103"/>
  <c r="BH87" i="103"/>
  <c r="BO119" i="103"/>
  <c r="BO124" i="103"/>
  <c r="BN129" i="103"/>
  <c r="BM129" i="103"/>
  <c r="BL129" i="103"/>
  <c r="DJ130" i="103"/>
  <c r="BK129" i="103"/>
  <c r="BJ129" i="103"/>
  <c r="BI129" i="103"/>
  <c r="BH129" i="103"/>
  <c r="DJ173" i="103"/>
  <c r="BK172" i="103"/>
  <c r="BJ172" i="103"/>
  <c r="BI172" i="103"/>
  <c r="BH172" i="103"/>
  <c r="BN172" i="103"/>
  <c r="BO172" i="103"/>
  <c r="BM172" i="103"/>
  <c r="BL172" i="103"/>
  <c r="BO191" i="103"/>
  <c r="BM200" i="103"/>
  <c r="BL200" i="103"/>
  <c r="DJ201" i="103"/>
  <c r="BK200" i="103"/>
  <c r="BJ200" i="103"/>
  <c r="BH200" i="103"/>
  <c r="BO200" i="103"/>
  <c r="BN200" i="103"/>
  <c r="BI200" i="103"/>
  <c r="BO230" i="103"/>
  <c r="DJ4" i="103"/>
  <c r="BN218" i="103"/>
  <c r="BN139" i="103"/>
  <c r="BH3" i="103"/>
  <c r="BI4" i="103"/>
  <c r="BO6" i="103"/>
  <c r="BJ7" i="103"/>
  <c r="CI7" i="103"/>
  <c r="BH9" i="103"/>
  <c r="BL10" i="103"/>
  <c r="CI10" i="103"/>
  <c r="CI11" i="103"/>
  <c r="BL12" i="103"/>
  <c r="BO13" i="103"/>
  <c r="BN14" i="103"/>
  <c r="DJ14" i="103"/>
  <c r="BI15" i="103"/>
  <c r="BN16" i="103"/>
  <c r="DJ16" i="103"/>
  <c r="BL17" i="103"/>
  <c r="BI18" i="103"/>
  <c r="BO260" i="103"/>
  <c r="BO266" i="103"/>
  <c r="BO258" i="103"/>
  <c r="BO251" i="103"/>
  <c r="BO246" i="103"/>
  <c r="BH19" i="103"/>
  <c r="BO20" i="103"/>
  <c r="BN21" i="103"/>
  <c r="BO22" i="103"/>
  <c r="BK24" i="103"/>
  <c r="DJ25" i="103"/>
  <c r="BK25" i="103"/>
  <c r="BL26" i="103"/>
  <c r="BH27" i="103"/>
  <c r="BM28" i="103"/>
  <c r="BM30" i="103"/>
  <c r="BH31" i="103"/>
  <c r="BM33" i="103"/>
  <c r="BI33" i="103"/>
  <c r="BN34" i="103"/>
  <c r="BI38" i="103"/>
  <c r="DJ38" i="103"/>
  <c r="BK40" i="103"/>
  <c r="BM42" i="103"/>
  <c r="BO43" i="103"/>
  <c r="BO44" i="103"/>
  <c r="BK45" i="103"/>
  <c r="BO47" i="103"/>
  <c r="BJ48" i="103"/>
  <c r="BH49" i="103"/>
  <c r="DJ49" i="103"/>
  <c r="BL54" i="103"/>
  <c r="BI56" i="103"/>
  <c r="BM57" i="103"/>
  <c r="BL57" i="103"/>
  <c r="BI57" i="103"/>
  <c r="BO57" i="103"/>
  <c r="DJ57" i="103"/>
  <c r="BI60" i="103"/>
  <c r="BO61" i="103"/>
  <c r="BI68" i="103"/>
  <c r="BJ69" i="103"/>
  <c r="BJ70" i="103"/>
  <c r="BK72" i="103"/>
  <c r="BN77" i="103"/>
  <c r="BM77" i="103"/>
  <c r="BL77" i="103"/>
  <c r="BJ77" i="103"/>
  <c r="BI77" i="103"/>
  <c r="BH77" i="103"/>
  <c r="BK83" i="103"/>
  <c r="BO87" i="103"/>
  <c r="BO126" i="103"/>
  <c r="BO129" i="103"/>
  <c r="BO133" i="103"/>
  <c r="BJ142" i="103"/>
  <c r="BH142" i="103"/>
  <c r="BO142" i="103"/>
  <c r="BM142" i="103"/>
  <c r="DJ143" i="103"/>
  <c r="BN142" i="103"/>
  <c r="BL142" i="103"/>
  <c r="BK142" i="103"/>
  <c r="BI142" i="103"/>
  <c r="BJ4" i="103"/>
  <c r="BO14" i="103"/>
  <c r="BJ15" i="103"/>
  <c r="BO16" i="103"/>
  <c r="BJ18" i="103"/>
  <c r="BO21" i="103"/>
  <c r="BJ27" i="103"/>
  <c r="BN28" i="103"/>
  <c r="BN30" i="103"/>
  <c r="BI31" i="103"/>
  <c r="BN36" i="103"/>
  <c r="BJ36" i="103"/>
  <c r="BJ38" i="103"/>
  <c r="BO39" i="103"/>
  <c r="BM40" i="103"/>
  <c r="BN45" i="103"/>
  <c r="BM48" i="103"/>
  <c r="BJ49" i="103"/>
  <c r="BM54" i="103"/>
  <c r="BO55" i="103"/>
  <c r="BJ56" i="103"/>
  <c r="BK68" i="103"/>
  <c r="BL69" i="103"/>
  <c r="BM70" i="103"/>
  <c r="BM72" i="103"/>
  <c r="BO83" i="103"/>
  <c r="BN93" i="103"/>
  <c r="BM93" i="103"/>
  <c r="BL93" i="103"/>
  <c r="DJ93" i="103"/>
  <c r="BK93" i="103"/>
  <c r="BJ93" i="103"/>
  <c r="BI93" i="103"/>
  <c r="BH93" i="103"/>
  <c r="BO104" i="103"/>
  <c r="BO112" i="103"/>
  <c r="BO137" i="103"/>
  <c r="CI3" i="103"/>
  <c r="BK4" i="103"/>
  <c r="BO5" i="103"/>
  <c r="BL7" i="103"/>
  <c r="BN10" i="103"/>
  <c r="BN12" i="103"/>
  <c r="DJ12" i="103"/>
  <c r="BH14" i="103"/>
  <c r="BK15" i="103"/>
  <c r="BH16" i="103"/>
  <c r="BN17" i="103"/>
  <c r="DJ17" i="103"/>
  <c r="BK18" i="103"/>
  <c r="CI19" i="103"/>
  <c r="BH21" i="103"/>
  <c r="BH22" i="103"/>
  <c r="BM24" i="103"/>
  <c r="BI25" i="103"/>
  <c r="BO26" i="103"/>
  <c r="BK27" i="103"/>
  <c r="DJ27" i="103"/>
  <c r="BO28" i="103"/>
  <c r="BO30" i="103"/>
  <c r="BJ31" i="103"/>
  <c r="DJ31" i="103"/>
  <c r="BJ33" i="103"/>
  <c r="DJ33" i="103"/>
  <c r="BH36" i="103"/>
  <c r="BK38" i="103"/>
  <c r="BN40" i="103"/>
  <c r="BJ44" i="103"/>
  <c r="BN44" i="103"/>
  <c r="BO45" i="103"/>
  <c r="BN48" i="103"/>
  <c r="BK49" i="103"/>
  <c r="BN50" i="103"/>
  <c r="BM50" i="103"/>
  <c r="BJ50" i="103"/>
  <c r="BO54" i="103"/>
  <c r="BM56" i="103"/>
  <c r="BJ57" i="103"/>
  <c r="BN58" i="103"/>
  <c r="BM58" i="103"/>
  <c r="BJ58" i="103"/>
  <c r="BH58" i="103"/>
  <c r="BO65" i="103"/>
  <c r="BL68" i="103"/>
  <c r="BN69" i="103"/>
  <c r="BO70" i="103"/>
  <c r="BO72" i="103"/>
  <c r="BO74" i="103"/>
  <c r="BO77" i="103"/>
  <c r="DJ79" i="103"/>
  <c r="BO93" i="103"/>
  <c r="BN109" i="103"/>
  <c r="BM109" i="103"/>
  <c r="BL109" i="103"/>
  <c r="DJ110" i="103"/>
  <c r="BK109" i="103"/>
  <c r="BJ109" i="103"/>
  <c r="BI109" i="103"/>
  <c r="BH109" i="103"/>
  <c r="BN169" i="103"/>
  <c r="BO220" i="103"/>
  <c r="BO164" i="103"/>
  <c r="BO238" i="103"/>
  <c r="BO155" i="103"/>
  <c r="BO173" i="103"/>
  <c r="BI22" i="103"/>
  <c r="BN24" i="103"/>
  <c r="BH34" i="103"/>
  <c r="BL34" i="103"/>
  <c r="BO40" i="103"/>
  <c r="BN42" i="103"/>
  <c r="BJ42" i="103"/>
  <c r="BO48" i="103"/>
  <c r="BI53" i="103"/>
  <c r="BH53" i="103"/>
  <c r="BM53" i="103"/>
  <c r="DJ53" i="103"/>
  <c r="BO59" i="103"/>
  <c r="BL64" i="103"/>
  <c r="DJ64" i="103"/>
  <c r="BK64" i="103"/>
  <c r="BH64" i="103"/>
  <c r="BN64" i="103"/>
  <c r="BO68" i="103"/>
  <c r="BO69" i="103"/>
  <c r="BN90" i="103"/>
  <c r="BO100" i="103"/>
  <c r="BO109" i="103"/>
  <c r="BM143" i="103"/>
  <c r="DJ144" i="103"/>
  <c r="BK143" i="103"/>
  <c r="BJ143" i="103"/>
  <c r="BH143" i="103"/>
  <c r="BO143" i="103"/>
  <c r="BN143" i="103"/>
  <c r="BL143" i="103"/>
  <c r="BI143" i="103"/>
  <c r="BO187" i="103"/>
  <c r="BO67" i="103"/>
  <c r="BK78" i="103"/>
  <c r="DJ78" i="103"/>
  <c r="BN81" i="103"/>
  <c r="BO84" i="103"/>
  <c r="BK88" i="103"/>
  <c r="DJ88" i="103"/>
  <c r="BN89" i="103"/>
  <c r="BO90" i="103"/>
  <c r="BK94" i="103"/>
  <c r="DJ94" i="103"/>
  <c r="BL95" i="103"/>
  <c r="BK98" i="103"/>
  <c r="DJ98" i="103"/>
  <c r="BN99" i="103"/>
  <c r="BL101" i="103"/>
  <c r="BL105" i="103"/>
  <c r="BO106" i="103"/>
  <c r="BK110" i="103"/>
  <c r="DJ111" i="103"/>
  <c r="BN111" i="103"/>
  <c r="BL113" i="103"/>
  <c r="BO114" i="103"/>
  <c r="BK116" i="103"/>
  <c r="DJ117" i="103"/>
  <c r="BN117" i="103"/>
  <c r="BO118" i="103"/>
  <c r="BK120" i="103"/>
  <c r="DJ121" i="103"/>
  <c r="BN121" i="103"/>
  <c r="BO122" i="103"/>
  <c r="BN125" i="103"/>
  <c r="BK130" i="103"/>
  <c r="DJ131" i="103"/>
  <c r="BN137" i="103"/>
  <c r="DJ156" i="103"/>
  <c r="BK155" i="103"/>
  <c r="BI155" i="103"/>
  <c r="BH155" i="103"/>
  <c r="BN155" i="103"/>
  <c r="BM162" i="103"/>
  <c r="DJ163" i="103"/>
  <c r="BK162" i="103"/>
  <c r="BJ162" i="103"/>
  <c r="BH162" i="103"/>
  <c r="BN176" i="103"/>
  <c r="BM176" i="103"/>
  <c r="BL176" i="103"/>
  <c r="DJ177" i="103"/>
  <c r="BK176" i="103"/>
  <c r="BI176" i="103"/>
  <c r="BO178" i="103"/>
  <c r="DJ190" i="103"/>
  <c r="BK189" i="103"/>
  <c r="BJ189" i="103"/>
  <c r="BI189" i="103"/>
  <c r="BH189" i="103"/>
  <c r="BN189" i="103"/>
  <c r="DJ194" i="103"/>
  <c r="BK193" i="103"/>
  <c r="BJ193" i="103"/>
  <c r="BI193" i="103"/>
  <c r="BH193" i="103"/>
  <c r="BN193" i="103"/>
  <c r="BO197" i="103"/>
  <c r="BO81" i="103"/>
  <c r="BO89" i="103"/>
  <c r="BM95" i="103"/>
  <c r="BO99" i="103"/>
  <c r="BM101" i="103"/>
  <c r="BM105" i="103"/>
  <c r="BO111" i="103"/>
  <c r="BM113" i="103"/>
  <c r="BO117" i="103"/>
  <c r="BO121" i="103"/>
  <c r="BO125" i="103"/>
  <c r="BL130" i="103"/>
  <c r="BO131" i="103"/>
  <c r="BI133" i="103"/>
  <c r="BL133" i="103"/>
  <c r="BO145" i="103"/>
  <c r="BN150" i="103"/>
  <c r="BL150" i="103"/>
  <c r="DJ151" i="103"/>
  <c r="BK150" i="103"/>
  <c r="BI150" i="103"/>
  <c r="BH154" i="103"/>
  <c r="BN154" i="103"/>
  <c r="BM154" i="103"/>
  <c r="DJ155" i="103"/>
  <c r="BK154" i="103"/>
  <c r="BO158" i="103"/>
  <c r="BO168" i="103"/>
  <c r="BO185" i="103"/>
  <c r="BO205" i="103"/>
  <c r="BO210" i="103"/>
  <c r="BO257" i="103"/>
  <c r="BK39" i="103"/>
  <c r="DJ39" i="103"/>
  <c r="BK43" i="103"/>
  <c r="DJ43" i="103"/>
  <c r="BL46" i="103"/>
  <c r="BK51" i="103"/>
  <c r="DJ51" i="103"/>
  <c r="BL52" i="103"/>
  <c r="BK59" i="103"/>
  <c r="DJ59" i="103"/>
  <c r="BL60" i="103"/>
  <c r="BK65" i="103"/>
  <c r="DJ65" i="103"/>
  <c r="BI67" i="103"/>
  <c r="BK71" i="103"/>
  <c r="DJ71" i="103"/>
  <c r="BK74" i="103"/>
  <c r="DJ74" i="103"/>
  <c r="BM78" i="103"/>
  <c r="BO80" i="103"/>
  <c r="BH81" i="103"/>
  <c r="BK82" i="103"/>
  <c r="DJ82" i="103"/>
  <c r="BI84" i="103"/>
  <c r="BL85" i="103"/>
  <c r="BO86" i="103"/>
  <c r="BM88" i="103"/>
  <c r="BH89" i="103"/>
  <c r="BI90" i="103"/>
  <c r="BL91" i="103"/>
  <c r="BO92" i="103"/>
  <c r="BM94" i="103"/>
  <c r="BN95" i="103"/>
  <c r="BO96" i="103"/>
  <c r="BM98" i="103"/>
  <c r="BH99" i="103"/>
  <c r="BK100" i="103"/>
  <c r="DJ100" i="103"/>
  <c r="BN101" i="103"/>
  <c r="BO102" i="103"/>
  <c r="BK104" i="103"/>
  <c r="DJ104" i="103"/>
  <c r="BN105" i="103"/>
  <c r="BI106" i="103"/>
  <c r="BL107" i="103"/>
  <c r="BO108" i="103"/>
  <c r="BM110" i="103"/>
  <c r="BH111" i="103"/>
  <c r="BK112" i="103"/>
  <c r="DJ113" i="103"/>
  <c r="BN113" i="103"/>
  <c r="BI114" i="103"/>
  <c r="BL115" i="103"/>
  <c r="BM116" i="103"/>
  <c r="BH117" i="103"/>
  <c r="BI118" i="103"/>
  <c r="BM120" i="103"/>
  <c r="BH121" i="103"/>
  <c r="BI122" i="103"/>
  <c r="BL123" i="103"/>
  <c r="BH125" i="103"/>
  <c r="BK126" i="103"/>
  <c r="DJ127" i="103"/>
  <c r="BL127" i="103"/>
  <c r="BM130" i="103"/>
  <c r="BH133" i="103"/>
  <c r="BJ136" i="103"/>
  <c r="BM136" i="103"/>
  <c r="DJ150" i="103"/>
  <c r="BK149" i="103"/>
  <c r="BI149" i="103"/>
  <c r="BH149" i="103"/>
  <c r="BN149" i="103"/>
  <c r="BH150" i="103"/>
  <c r="BI154" i="103"/>
  <c r="BL155" i="103"/>
  <c r="BL162" i="103"/>
  <c r="DJ176" i="103"/>
  <c r="BK175" i="103"/>
  <c r="BJ175" i="103"/>
  <c r="BI175" i="103"/>
  <c r="BH175" i="103"/>
  <c r="BN175" i="103"/>
  <c r="BJ176" i="103"/>
  <c r="BM189" i="103"/>
  <c r="BM193" i="103"/>
  <c r="BJ212" i="103"/>
  <c r="BI212" i="103"/>
  <c r="BH212" i="103"/>
  <c r="BO212" i="103"/>
  <c r="BN212" i="103"/>
  <c r="BM212" i="103"/>
  <c r="BK212" i="103"/>
  <c r="BO95" i="103"/>
  <c r="BO101" i="103"/>
  <c r="BO105" i="103"/>
  <c r="BO113" i="103"/>
  <c r="BH148" i="103"/>
  <c r="BN148" i="103"/>
  <c r="BM148" i="103"/>
  <c r="DJ149" i="103"/>
  <c r="BK148" i="103"/>
  <c r="BM170" i="103"/>
  <c r="BL170" i="103"/>
  <c r="DJ171" i="103"/>
  <c r="BK170" i="103"/>
  <c r="BJ170" i="103"/>
  <c r="BH170" i="103"/>
  <c r="BL202" i="103"/>
  <c r="DJ203" i="103"/>
  <c r="BK202" i="103"/>
  <c r="BJ202" i="103"/>
  <c r="BI202" i="103"/>
  <c r="BH202" i="103"/>
  <c r="BO202" i="103"/>
  <c r="BJ204" i="103"/>
  <c r="BI204" i="103"/>
  <c r="BO204" i="103"/>
  <c r="BN204" i="103"/>
  <c r="BM204" i="103"/>
  <c r="BL204" i="103"/>
  <c r="BH204" i="103"/>
  <c r="DJ208" i="103"/>
  <c r="BK207" i="103"/>
  <c r="BJ207" i="103"/>
  <c r="BI207" i="103"/>
  <c r="BO207" i="103"/>
  <c r="BN207" i="103"/>
  <c r="BM207" i="103"/>
  <c r="BH207" i="103"/>
  <c r="BM217" i="103"/>
  <c r="BL217" i="103"/>
  <c r="DJ218" i="103"/>
  <c r="BK217" i="103"/>
  <c r="BO217" i="103"/>
  <c r="BN217" i="103"/>
  <c r="BJ217" i="103"/>
  <c r="BI217" i="103"/>
  <c r="BH217" i="103"/>
  <c r="BJ268" i="103"/>
  <c r="BH268" i="103"/>
  <c r="BM268" i="103"/>
  <c r="BL268" i="103"/>
  <c r="BO268" i="103"/>
  <c r="BN268" i="103"/>
  <c r="BK268" i="103"/>
  <c r="BI268" i="103"/>
  <c r="DJ269" i="103"/>
  <c r="BO78" i="103"/>
  <c r="BJ81" i="103"/>
  <c r="BO88" i="103"/>
  <c r="BJ89" i="103"/>
  <c r="BO94" i="103"/>
  <c r="BH95" i="103"/>
  <c r="BO98" i="103"/>
  <c r="BJ99" i="103"/>
  <c r="BH101" i="103"/>
  <c r="BH105" i="103"/>
  <c r="BO110" i="103"/>
  <c r="BJ111" i="103"/>
  <c r="BH113" i="103"/>
  <c r="BO116" i="103"/>
  <c r="BJ117" i="103"/>
  <c r="BO120" i="103"/>
  <c r="BJ121" i="103"/>
  <c r="BJ125" i="103"/>
  <c r="BO130" i="103"/>
  <c r="BK133" i="103"/>
  <c r="BM137" i="103"/>
  <c r="DJ138" i="103"/>
  <c r="BK137" i="103"/>
  <c r="BH137" i="103"/>
  <c r="BO141" i="103"/>
  <c r="BM147" i="103"/>
  <c r="DJ148" i="103"/>
  <c r="BK147" i="103"/>
  <c r="BJ147" i="103"/>
  <c r="BH147" i="103"/>
  <c r="BI148" i="103"/>
  <c r="BM150" i="103"/>
  <c r="BL154" i="103"/>
  <c r="BI170" i="103"/>
  <c r="BO179" i="103"/>
  <c r="BM187" i="103"/>
  <c r="BL187" i="103"/>
  <c r="DJ188" i="103"/>
  <c r="BK187" i="103"/>
  <c r="BJ187" i="103"/>
  <c r="BH187" i="103"/>
  <c r="BO198" i="103"/>
  <c r="BM202" i="103"/>
  <c r="BK204" i="103"/>
  <c r="BL207" i="103"/>
  <c r="BO223" i="103"/>
  <c r="BO46" i="103"/>
  <c r="BO52" i="103"/>
  <c r="BO60" i="103"/>
  <c r="BL67" i="103"/>
  <c r="BH78" i="103"/>
  <c r="BK81" i="103"/>
  <c r="DJ81" i="103"/>
  <c r="BL84" i="103"/>
  <c r="BO85" i="103"/>
  <c r="BH88" i="103"/>
  <c r="BK89" i="103"/>
  <c r="DJ89" i="103"/>
  <c r="BL90" i="103"/>
  <c r="BO91" i="103"/>
  <c r="BH94" i="103"/>
  <c r="BI95" i="103"/>
  <c r="BH98" i="103"/>
  <c r="BK99" i="103"/>
  <c r="DJ99" i="103"/>
  <c r="BI101" i="103"/>
  <c r="BI105" i="103"/>
  <c r="BL106" i="103"/>
  <c r="BO107" i="103"/>
  <c r="BH110" i="103"/>
  <c r="BK111" i="103"/>
  <c r="DJ112" i="103"/>
  <c r="BI113" i="103"/>
  <c r="BL114" i="103"/>
  <c r="BO115" i="103"/>
  <c r="BH116" i="103"/>
  <c r="BK117" i="103"/>
  <c r="DJ118" i="103"/>
  <c r="BL118" i="103"/>
  <c r="BH120" i="103"/>
  <c r="BK121" i="103"/>
  <c r="DJ122" i="103"/>
  <c r="BL122" i="103"/>
  <c r="BO123" i="103"/>
  <c r="BK125" i="103"/>
  <c r="DJ126" i="103"/>
  <c r="BO127" i="103"/>
  <c r="BH130" i="103"/>
  <c r="BO132" i="103"/>
  <c r="BM133" i="103"/>
  <c r="BI137" i="103"/>
  <c r="BN138" i="103"/>
  <c r="BL138" i="103"/>
  <c r="BI138" i="103"/>
  <c r="BI147" i="103"/>
  <c r="BJ148" i="103"/>
  <c r="BO150" i="103"/>
  <c r="BO154" i="103"/>
  <c r="BO160" i="103"/>
  <c r="BN165" i="103"/>
  <c r="BM165" i="103"/>
  <c r="BL165" i="103"/>
  <c r="DJ166" i="103"/>
  <c r="BK165" i="103"/>
  <c r="BI165" i="103"/>
  <c r="BO167" i="103"/>
  <c r="BN170" i="103"/>
  <c r="BN182" i="103"/>
  <c r="BM182" i="103"/>
  <c r="BL182" i="103"/>
  <c r="DJ183" i="103"/>
  <c r="BK182" i="103"/>
  <c r="BI182" i="103"/>
  <c r="BO184" i="103"/>
  <c r="BI187" i="103"/>
  <c r="BN202" i="103"/>
  <c r="BO236" i="103"/>
  <c r="DJ262" i="103"/>
  <c r="BK261" i="103"/>
  <c r="BI261" i="103"/>
  <c r="BM261" i="103"/>
  <c r="BO261" i="103"/>
  <c r="BN261" i="103"/>
  <c r="BJ261" i="103"/>
  <c r="BH261" i="103"/>
  <c r="BL261" i="103"/>
  <c r="BK80" i="103"/>
  <c r="BK86" i="103"/>
  <c r="BK92" i="103"/>
  <c r="BK96" i="103"/>
  <c r="BK102" i="103"/>
  <c r="BK108" i="103"/>
  <c r="BN133" i="103"/>
  <c r="BJ137" i="103"/>
  <c r="BH138" i="103"/>
  <c r="DJ139" i="103"/>
  <c r="BL147" i="103"/>
  <c r="BL148" i="103"/>
  <c r="BO153" i="103"/>
  <c r="DJ165" i="103"/>
  <c r="BK164" i="103"/>
  <c r="BI164" i="103"/>
  <c r="BH164" i="103"/>
  <c r="BN164" i="103"/>
  <c r="BH165" i="103"/>
  <c r="BO170" i="103"/>
  <c r="BM173" i="103"/>
  <c r="BL173" i="103"/>
  <c r="DJ174" i="103"/>
  <c r="BK173" i="103"/>
  <c r="BJ173" i="103"/>
  <c r="BH173" i="103"/>
  <c r="BH182" i="103"/>
  <c r="BN187" i="103"/>
  <c r="BN190" i="103"/>
  <c r="BM190" i="103"/>
  <c r="BL190" i="103"/>
  <c r="DJ191" i="103"/>
  <c r="BK190" i="103"/>
  <c r="BI190" i="103"/>
  <c r="BN194" i="103"/>
  <c r="BM194" i="103"/>
  <c r="BL194" i="103"/>
  <c r="DJ195" i="103"/>
  <c r="BK194" i="103"/>
  <c r="BI194" i="103"/>
  <c r="DJ213" i="103"/>
  <c r="BO221" i="103"/>
  <c r="BK229" i="103"/>
  <c r="BI230" i="103"/>
  <c r="DJ233" i="103"/>
  <c r="BK232" i="103"/>
  <c r="BJ232" i="103"/>
  <c r="BI232" i="103"/>
  <c r="BN232" i="103"/>
  <c r="BN233" i="103"/>
  <c r="BM233" i="103"/>
  <c r="BL233" i="103"/>
  <c r="BI233" i="103"/>
  <c r="DJ234" i="103"/>
  <c r="BM245" i="103"/>
  <c r="BL245" i="103"/>
  <c r="DJ246" i="103"/>
  <c r="BK245" i="103"/>
  <c r="BJ245" i="103"/>
  <c r="BH245" i="103"/>
  <c r="BJ132" i="103"/>
  <c r="BO134" i="103"/>
  <c r="BJ135" i="103"/>
  <c r="BL139" i="103"/>
  <c r="BO140" i="103"/>
  <c r="BJ141" i="103"/>
  <c r="BJ145" i="103"/>
  <c r="BM146" i="103"/>
  <c r="BL151" i="103"/>
  <c r="BO152" i="103"/>
  <c r="BJ153" i="103"/>
  <c r="BL157" i="103"/>
  <c r="BJ160" i="103"/>
  <c r="BM161" i="103"/>
  <c r="BL166" i="103"/>
  <c r="BJ168" i="103"/>
  <c r="BM169" i="103"/>
  <c r="BK171" i="103"/>
  <c r="DJ172" i="103"/>
  <c r="BK174" i="103"/>
  <c r="DJ175" i="103"/>
  <c r="BL177" i="103"/>
  <c r="BJ179" i="103"/>
  <c r="BM180" i="103"/>
  <c r="BL183" i="103"/>
  <c r="BJ185" i="103"/>
  <c r="BM186" i="103"/>
  <c r="BK188" i="103"/>
  <c r="DJ189" i="103"/>
  <c r="BJ191" i="103"/>
  <c r="BK192" i="103"/>
  <c r="DJ193" i="103"/>
  <c r="BL195" i="103"/>
  <c r="BM196" i="103"/>
  <c r="BJ198" i="103"/>
  <c r="BM199" i="103"/>
  <c r="BK201" i="103"/>
  <c r="DJ202" i="103"/>
  <c r="BN208" i="103"/>
  <c r="BM208" i="103"/>
  <c r="BL208" i="103"/>
  <c r="BM213" i="103"/>
  <c r="BL213" i="103"/>
  <c r="DJ214" i="103"/>
  <c r="BK213" i="103"/>
  <c r="BJ216" i="103"/>
  <c r="BI216" i="103"/>
  <c r="BH216" i="103"/>
  <c r="DJ217" i="103"/>
  <c r="BL229" i="103"/>
  <c r="BJ230" i="103"/>
  <c r="BH232" i="103"/>
  <c r="BH233" i="103"/>
  <c r="DJ239" i="103"/>
  <c r="BK238" i="103"/>
  <c r="BJ238" i="103"/>
  <c r="BI238" i="103"/>
  <c r="BN238" i="103"/>
  <c r="BN239" i="103"/>
  <c r="BM239" i="103"/>
  <c r="BL239" i="103"/>
  <c r="BI239" i="103"/>
  <c r="DJ240" i="103"/>
  <c r="BI245" i="103"/>
  <c r="BO146" i="103"/>
  <c r="BO161" i="103"/>
  <c r="BO169" i="103"/>
  <c r="BM171" i="103"/>
  <c r="BM174" i="103"/>
  <c r="BO180" i="103"/>
  <c r="BO186" i="103"/>
  <c r="BM188" i="103"/>
  <c r="BM192" i="103"/>
  <c r="BO196" i="103"/>
  <c r="BO199" i="103"/>
  <c r="BM201" i="103"/>
  <c r="BM205" i="103"/>
  <c r="BL205" i="103"/>
  <c r="BO218" i="103"/>
  <c r="BJ222" i="103"/>
  <c r="BI222" i="103"/>
  <c r="BH222" i="103"/>
  <c r="DJ223" i="103"/>
  <c r="BO229" i="103"/>
  <c r="BM232" i="103"/>
  <c r="BK233" i="103"/>
  <c r="BO242" i="103"/>
  <c r="BO245" i="103"/>
  <c r="BO139" i="103"/>
  <c r="BH146" i="103"/>
  <c r="BO151" i="103"/>
  <c r="BO157" i="103"/>
  <c r="BH161" i="103"/>
  <c r="BO166" i="103"/>
  <c r="BH169" i="103"/>
  <c r="BN171" i="103"/>
  <c r="BN174" i="103"/>
  <c r="BO177" i="103"/>
  <c r="BH180" i="103"/>
  <c r="BO183" i="103"/>
  <c r="BH186" i="103"/>
  <c r="BN188" i="103"/>
  <c r="BN192" i="103"/>
  <c r="BO195" i="103"/>
  <c r="BH196" i="103"/>
  <c r="BH199" i="103"/>
  <c r="BN201" i="103"/>
  <c r="BH205" i="103"/>
  <c r="BL210" i="103"/>
  <c r="DJ211" i="103"/>
  <c r="BK210" i="103"/>
  <c r="BJ210" i="103"/>
  <c r="BM223" i="103"/>
  <c r="BL223" i="103"/>
  <c r="DJ224" i="103"/>
  <c r="BK223" i="103"/>
  <c r="BJ226" i="103"/>
  <c r="BI226" i="103"/>
  <c r="BH226" i="103"/>
  <c r="BM226" i="103"/>
  <c r="BM227" i="103"/>
  <c r="BL227" i="103"/>
  <c r="DJ228" i="103"/>
  <c r="BK227" i="103"/>
  <c r="BH227" i="103"/>
  <c r="BO228" i="103"/>
  <c r="BO232" i="103"/>
  <c r="BO233" i="103"/>
  <c r="BO254" i="103"/>
  <c r="BO171" i="103"/>
  <c r="BO174" i="103"/>
  <c r="BO188" i="103"/>
  <c r="BO192" i="103"/>
  <c r="BO201" i="103"/>
  <c r="BO203" i="103"/>
  <c r="BO211" i="103"/>
  <c r="DJ220" i="103"/>
  <c r="BK219" i="103"/>
  <c r="BJ219" i="103"/>
  <c r="BI219" i="103"/>
  <c r="BH223" i="103"/>
  <c r="BK226" i="103"/>
  <c r="BI227" i="103"/>
  <c r="BO247" i="103"/>
  <c r="BO256" i="103"/>
  <c r="BJ205" i="103"/>
  <c r="BI210" i="103"/>
  <c r="BO213" i="103"/>
  <c r="BO216" i="103"/>
  <c r="BH219" i="103"/>
  <c r="BN220" i="103"/>
  <c r="BM220" i="103"/>
  <c r="BL220" i="103"/>
  <c r="BM222" i="103"/>
  <c r="BI223" i="103"/>
  <c r="BL226" i="103"/>
  <c r="BJ227" i="103"/>
  <c r="BN246" i="103"/>
  <c r="BM246" i="103"/>
  <c r="BL246" i="103"/>
  <c r="DJ247" i="103"/>
  <c r="BK246" i="103"/>
  <c r="BI246" i="103"/>
  <c r="BO265" i="103"/>
  <c r="BJ229" i="103"/>
  <c r="BI229" i="103"/>
  <c r="BH229" i="103"/>
  <c r="BM229" i="103"/>
  <c r="BM230" i="103"/>
  <c r="BL230" i="103"/>
  <c r="DJ231" i="103"/>
  <c r="BK230" i="103"/>
  <c r="BH230" i="103"/>
  <c r="BH246" i="103"/>
  <c r="DJ252" i="103"/>
  <c r="BK251" i="103"/>
  <c r="BJ251" i="103"/>
  <c r="BI251" i="103"/>
  <c r="BH251" i="103"/>
  <c r="BN251" i="103"/>
  <c r="BM251" i="103"/>
  <c r="DJ254" i="103"/>
  <c r="BK253" i="103"/>
  <c r="BM253" i="103"/>
  <c r="BI259" i="103"/>
  <c r="DJ260" i="103"/>
  <c r="BK259" i="103"/>
  <c r="BN264" i="103"/>
  <c r="BL264" i="103"/>
  <c r="BH264" i="103"/>
  <c r="DJ265" i="103"/>
  <c r="BO235" i="103"/>
  <c r="BO241" i="103"/>
  <c r="BM243" i="103"/>
  <c r="BO244" i="103"/>
  <c r="BM250" i="103"/>
  <c r="BO252" i="103"/>
  <c r="BH253" i="103"/>
  <c r="BH259" i="103"/>
  <c r="BL262" i="103"/>
  <c r="BJ262" i="103"/>
  <c r="BN262" i="103"/>
  <c r="BI264" i="103"/>
  <c r="BJ278" i="103"/>
  <c r="BI278" i="103"/>
  <c r="BH278" i="103"/>
  <c r="BM278" i="103"/>
  <c r="BL278" i="103"/>
  <c r="Q11" i="104"/>
  <c r="Q13" i="104"/>
  <c r="DJ270" i="103"/>
  <c r="BK269" i="103"/>
  <c r="BI269" i="103"/>
  <c r="BN269" i="103"/>
  <c r="BM269" i="103"/>
  <c r="BO243" i="103"/>
  <c r="BO250" i="103"/>
  <c r="BJ253" i="103"/>
  <c r="BL254" i="103"/>
  <c r="BN254" i="103"/>
  <c r="BN256" i="103"/>
  <c r="BH256" i="103"/>
  <c r="BL259" i="103"/>
  <c r="BK264" i="103"/>
  <c r="BH269" i="103"/>
  <c r="BO209" i="103"/>
  <c r="BO215" i="103"/>
  <c r="BO225" i="103"/>
  <c r="BO234" i="103"/>
  <c r="BJ235" i="103"/>
  <c r="BO240" i="103"/>
  <c r="BJ241" i="103"/>
  <c r="BH243" i="103"/>
  <c r="BJ244" i="103"/>
  <c r="BO249" i="103"/>
  <c r="BH250" i="103"/>
  <c r="BJ252" i="103"/>
  <c r="BL253" i="103"/>
  <c r="BH254" i="103"/>
  <c r="BI256" i="103"/>
  <c r="DJ257" i="103"/>
  <c r="BH258" i="103"/>
  <c r="BJ258" i="103"/>
  <c r="BM259" i="103"/>
  <c r="BJ260" i="103"/>
  <c r="BL260" i="103"/>
  <c r="BK262" i="103"/>
  <c r="BM264" i="103"/>
  <c r="BJ269" i="103"/>
  <c r="BO278" i="103"/>
  <c r="BN203" i="103"/>
  <c r="BO206" i="103"/>
  <c r="BH209" i="103"/>
  <c r="BN211" i="103"/>
  <c r="BO214" i="103"/>
  <c r="BH215" i="103"/>
  <c r="BN221" i="103"/>
  <c r="BO224" i="103"/>
  <c r="BH225" i="103"/>
  <c r="BN228" i="103"/>
  <c r="BO231" i="103"/>
  <c r="BH234" i="103"/>
  <c r="BK235" i="103"/>
  <c r="DJ236" i="103"/>
  <c r="BO237" i="103"/>
  <c r="BH240" i="103"/>
  <c r="BK241" i="103"/>
  <c r="DJ242" i="103"/>
  <c r="BI243" i="103"/>
  <c r="BK244" i="103"/>
  <c r="DJ245" i="103"/>
  <c r="BO248" i="103"/>
  <c r="BH249" i="103"/>
  <c r="BI250" i="103"/>
  <c r="BK252" i="103"/>
  <c r="DJ253" i="103"/>
  <c r="BN253" i="103"/>
  <c r="BI254" i="103"/>
  <c r="DJ255" i="103"/>
  <c r="BJ256" i="103"/>
  <c r="BI258" i="103"/>
  <c r="DJ259" i="103"/>
  <c r="BN259" i="103"/>
  <c r="BH260" i="103"/>
  <c r="DJ261" i="103"/>
  <c r="BM262" i="103"/>
  <c r="BO264" i="103"/>
  <c r="BL269" i="103"/>
  <c r="DJ274" i="103"/>
  <c r="BK273" i="103"/>
  <c r="BI273" i="103"/>
  <c r="BN273" i="103"/>
  <c r="BM273" i="103"/>
  <c r="BN274" i="103"/>
  <c r="BM274" i="103"/>
  <c r="BL274" i="103"/>
  <c r="BI274" i="103"/>
  <c r="BH274" i="103"/>
  <c r="BO277" i="103"/>
  <c r="M8" i="104"/>
  <c r="BO253" i="103"/>
  <c r="BJ254" i="103"/>
  <c r="BK256" i="103"/>
  <c r="BK258" i="103"/>
  <c r="BO259" i="103"/>
  <c r="BI260" i="103"/>
  <c r="BO262" i="103"/>
  <c r="BH266" i="103"/>
  <c r="BN266" i="103"/>
  <c r="DJ267" i="103"/>
  <c r="BK266" i="103"/>
  <c r="BJ266" i="103"/>
  <c r="BO269" i="103"/>
  <c r="BH272" i="103"/>
  <c r="BN272" i="103"/>
  <c r="DJ273" i="103"/>
  <c r="BK272" i="103"/>
  <c r="BJ272" i="103"/>
  <c r="BH273" i="103"/>
  <c r="BJ274" i="103"/>
  <c r="BO255" i="103"/>
  <c r="BI257" i="103"/>
  <c r="BO263" i="103"/>
  <c r="BI265" i="103"/>
  <c r="BK267" i="103"/>
  <c r="DJ268" i="103"/>
  <c r="BN270" i="103"/>
  <c r="BO271" i="103"/>
  <c r="BK275" i="103"/>
  <c r="DJ276" i="103"/>
  <c r="BN276" i="103"/>
  <c r="BO279" i="103"/>
  <c r="BJ280" i="103"/>
  <c r="N10" i="105"/>
  <c r="C211" i="102" s="1"/>
  <c r="BO270" i="103"/>
  <c r="BO276" i="103"/>
  <c r="BK280" i="103"/>
  <c r="DJ281" i="103"/>
  <c r="BO267" i="103"/>
  <c r="BJ270" i="103"/>
  <c r="DJ272" i="103"/>
  <c r="BO275" i="103"/>
  <c r="BJ276" i="103"/>
  <c r="BK279" i="103"/>
  <c r="DJ280" i="103"/>
  <c r="BN280" i="103"/>
  <c r="I17" i="107"/>
  <c r="I20" i="107" s="1"/>
  <c r="M20" i="107" s="1"/>
  <c r="D230" i="102" s="1"/>
  <c r="H20" i="107"/>
  <c r="G99" i="110" s="1"/>
  <c r="BO280" i="103"/>
  <c r="F112" i="83"/>
  <c r="F111" i="83"/>
  <c r="F110" i="83"/>
  <c r="F109" i="83"/>
  <c r="F108" i="83"/>
  <c r="F107" i="83"/>
  <c r="F106" i="83"/>
  <c r="F105" i="83"/>
  <c r="F104" i="83"/>
  <c r="F103" i="83"/>
  <c r="F102" i="83"/>
  <c r="F101" i="83"/>
  <c r="F100" i="83"/>
  <c r="F99" i="83"/>
  <c r="F98" i="83"/>
  <c r="F97" i="83"/>
  <c r="F96" i="83"/>
  <c r="F95" i="83"/>
  <c r="F94" i="83"/>
  <c r="F93" i="83"/>
  <c r="D72" i="81"/>
  <c r="D71" i="81"/>
  <c r="D70" i="81"/>
  <c r="D69" i="81"/>
  <c r="D68" i="81"/>
  <c r="D67" i="81"/>
  <c r="D66" i="81"/>
  <c r="D65" i="81"/>
  <c r="D64" i="81"/>
  <c r="D63" i="81"/>
  <c r="D62" i="81"/>
  <c r="D61" i="81"/>
  <c r="D60" i="81"/>
  <c r="D59" i="81"/>
  <c r="D58" i="81"/>
  <c r="D57" i="81"/>
  <c r="D56" i="81"/>
  <c r="D55" i="81"/>
  <c r="D54" i="81"/>
  <c r="D53" i="81"/>
  <c r="F45" i="81"/>
  <c r="G45" i="81" s="1"/>
  <c r="F44" i="81"/>
  <c r="G44" i="81" s="1"/>
  <c r="F43" i="81"/>
  <c r="G43" i="81" s="1"/>
  <c r="F42" i="81"/>
  <c r="G42" i="81" s="1"/>
  <c r="F41" i="81"/>
  <c r="G41" i="81" s="1"/>
  <c r="F40" i="81"/>
  <c r="G40" i="81" s="1"/>
  <c r="F39" i="81"/>
  <c r="G39" i="81" s="1"/>
  <c r="F38" i="81"/>
  <c r="G38" i="81" s="1"/>
  <c r="F37" i="81"/>
  <c r="G37" i="81" s="1"/>
  <c r="F36" i="81"/>
  <c r="G36" i="81" s="1"/>
  <c r="F35" i="81"/>
  <c r="G35" i="81" s="1"/>
  <c r="F34" i="81"/>
  <c r="G34" i="81" s="1"/>
  <c r="F33" i="81"/>
  <c r="G33" i="81" s="1"/>
  <c r="F32" i="81"/>
  <c r="G32" i="81" s="1"/>
  <c r="F31" i="81"/>
  <c r="G31" i="81" s="1"/>
  <c r="F30" i="81"/>
  <c r="G30" i="81" s="1"/>
  <c r="F29" i="81"/>
  <c r="G29" i="81" s="1"/>
  <c r="F28" i="81"/>
  <c r="F27" i="81"/>
  <c r="G27" i="81" s="1"/>
  <c r="F26" i="81"/>
  <c r="G26" i="81" s="1"/>
  <c r="E58" i="79"/>
  <c r="D57" i="79"/>
  <c r="E57" i="79" s="1"/>
  <c r="E50" i="79"/>
  <c r="E49" i="79"/>
  <c r="I69" i="94"/>
  <c r="H69" i="94"/>
  <c r="I68" i="94"/>
  <c r="H68" i="94"/>
  <c r="I67" i="94"/>
  <c r="H67" i="94"/>
  <c r="I66" i="94"/>
  <c r="H66" i="94"/>
  <c r="I65" i="94"/>
  <c r="H65" i="94"/>
  <c r="I64" i="94"/>
  <c r="H64" i="94"/>
  <c r="I63" i="94"/>
  <c r="H63" i="94"/>
  <c r="I62" i="94"/>
  <c r="H62" i="94"/>
  <c r="I61" i="94"/>
  <c r="H61" i="94"/>
  <c r="I60" i="94"/>
  <c r="H60" i="94"/>
  <c r="I59" i="94"/>
  <c r="H59" i="94"/>
  <c r="I58" i="94"/>
  <c r="H58" i="94"/>
  <c r="I57" i="94"/>
  <c r="H57" i="94"/>
  <c r="I56" i="94"/>
  <c r="H56" i="94"/>
  <c r="I55" i="94"/>
  <c r="H55" i="94"/>
  <c r="I54" i="94"/>
  <c r="H54" i="94"/>
  <c r="I53" i="94"/>
  <c r="H53" i="94"/>
  <c r="I52" i="94"/>
  <c r="H52" i="94"/>
  <c r="I51" i="94"/>
  <c r="H51" i="94"/>
  <c r="I50" i="94"/>
  <c r="H50" i="94"/>
  <c r="I49" i="94"/>
  <c r="H49" i="94"/>
  <c r="I48" i="94"/>
  <c r="H48" i="94"/>
  <c r="I47" i="94"/>
  <c r="H47" i="94"/>
  <c r="I46" i="94"/>
  <c r="H46" i="94"/>
  <c r="I45" i="94"/>
  <c r="H45" i="94"/>
  <c r="I44" i="94"/>
  <c r="H44" i="94"/>
  <c r="I43" i="94"/>
  <c r="H43" i="94"/>
  <c r="I42" i="94"/>
  <c r="H42" i="94"/>
  <c r="I41" i="94"/>
  <c r="H41" i="94"/>
  <c r="I40" i="94"/>
  <c r="H40" i="94"/>
  <c r="I39" i="94"/>
  <c r="H39" i="94"/>
  <c r="I38" i="94"/>
  <c r="H38" i="94"/>
  <c r="I37" i="94"/>
  <c r="H37" i="94"/>
  <c r="I36" i="94"/>
  <c r="H36" i="94"/>
  <c r="I35" i="94"/>
  <c r="H35" i="94"/>
  <c r="I34" i="94"/>
  <c r="H34" i="94"/>
  <c r="I33" i="94"/>
  <c r="H33" i="94"/>
  <c r="I32" i="94"/>
  <c r="H32" i="94"/>
  <c r="I31" i="94"/>
  <c r="H31" i="94"/>
  <c r="I30" i="94"/>
  <c r="H30" i="94"/>
  <c r="I29" i="94"/>
  <c r="H29" i="94"/>
  <c r="I28" i="94"/>
  <c r="H28" i="94"/>
  <c r="I27" i="94"/>
  <c r="H27" i="94"/>
  <c r="I26" i="94"/>
  <c r="H26" i="94"/>
  <c r="I25" i="94"/>
  <c r="H25" i="94"/>
  <c r="I24" i="94"/>
  <c r="H24" i="94"/>
  <c r="I23" i="94"/>
  <c r="H23" i="94"/>
  <c r="H22" i="94"/>
  <c r="I21" i="94"/>
  <c r="H21" i="94"/>
  <c r="F67" i="92"/>
  <c r="F66" i="92"/>
  <c r="F65" i="92"/>
  <c r="F64" i="92"/>
  <c r="F63" i="92"/>
  <c r="F62" i="92"/>
  <c r="F61" i="92"/>
  <c r="F60" i="92"/>
  <c r="F59" i="92"/>
  <c r="F58" i="92"/>
  <c r="F57" i="92"/>
  <c r="F56" i="92"/>
  <c r="F55" i="92"/>
  <c r="F54" i="92"/>
  <c r="F53" i="92"/>
  <c r="F52" i="92"/>
  <c r="F51" i="92"/>
  <c r="F50" i="92"/>
  <c r="F41" i="92"/>
  <c r="F40" i="92"/>
  <c r="F39" i="92"/>
  <c r="F38" i="92"/>
  <c r="F37" i="92"/>
  <c r="F36" i="92"/>
  <c r="F35" i="92"/>
  <c r="F34" i="92"/>
  <c r="F33" i="92"/>
  <c r="F32" i="92"/>
  <c r="F31" i="92"/>
  <c r="F30" i="92"/>
  <c r="F29" i="92"/>
  <c r="F28" i="92"/>
  <c r="F27" i="92"/>
  <c r="F26" i="92"/>
  <c r="F25" i="92"/>
  <c r="O22" i="91"/>
  <c r="P17" i="91"/>
  <c r="O17" i="91"/>
  <c r="N17" i="91"/>
  <c r="G56" i="85"/>
  <c r="F28" i="85"/>
  <c r="F48" i="92"/>
  <c r="F22" i="92"/>
  <c r="P18" i="91"/>
  <c r="L57" i="87"/>
  <c r="M57" i="87" s="1"/>
  <c r="M56" i="87"/>
  <c r="M55" i="87"/>
  <c r="M54" i="87"/>
  <c r="M53" i="87"/>
  <c r="M52" i="87"/>
  <c r="M51" i="87"/>
  <c r="M50" i="87"/>
  <c r="M49" i="87"/>
  <c r="M48" i="87"/>
  <c r="M47" i="87"/>
  <c r="M46" i="87"/>
  <c r="M45" i="87"/>
  <c r="M44" i="87"/>
  <c r="M43" i="87"/>
  <c r="M42" i="87"/>
  <c r="M41" i="87"/>
  <c r="M40" i="87"/>
  <c r="M39" i="87"/>
  <c r="M38" i="87"/>
  <c r="M37" i="87"/>
  <c r="M36" i="87"/>
  <c r="M35" i="87"/>
  <c r="M34" i="87"/>
  <c r="M33" i="87"/>
  <c r="M32" i="87"/>
  <c r="M31" i="87"/>
  <c r="M30" i="87"/>
  <c r="M29" i="87"/>
  <c r="M28" i="87"/>
  <c r="M27" i="87"/>
  <c r="M26" i="87"/>
  <c r="M25" i="87"/>
  <c r="M24" i="87"/>
  <c r="M23" i="87"/>
  <c r="M22" i="87"/>
  <c r="M21" i="87"/>
  <c r="M20" i="87"/>
  <c r="M19" i="87"/>
  <c r="M18" i="87"/>
  <c r="M16" i="87"/>
  <c r="M15" i="87"/>
  <c r="M14" i="87"/>
  <c r="M13" i="87"/>
  <c r="M12" i="87"/>
  <c r="M11" i="87"/>
  <c r="M10" i="87"/>
  <c r="M9" i="87"/>
  <c r="M7" i="87"/>
  <c r="G130" i="85"/>
  <c r="I130" i="85" s="1"/>
  <c r="F130" i="85"/>
  <c r="G129" i="85"/>
  <c r="I129" i="85" s="1"/>
  <c r="F129" i="85"/>
  <c r="G128" i="85"/>
  <c r="I128" i="85" s="1"/>
  <c r="F128" i="85"/>
  <c r="G127" i="85"/>
  <c r="I127" i="85" s="1"/>
  <c r="F127" i="85"/>
  <c r="G126" i="85"/>
  <c r="I126" i="85" s="1"/>
  <c r="F126" i="85"/>
  <c r="G125" i="85"/>
  <c r="I125" i="85" s="1"/>
  <c r="F125" i="85"/>
  <c r="G124" i="85"/>
  <c r="I124" i="85" s="1"/>
  <c r="F124" i="85"/>
  <c r="G123" i="85"/>
  <c r="I123" i="85" s="1"/>
  <c r="F123" i="85"/>
  <c r="G122" i="85"/>
  <c r="I122" i="85" s="1"/>
  <c r="F122" i="85"/>
  <c r="G121" i="85"/>
  <c r="I121" i="85" s="1"/>
  <c r="F121" i="85"/>
  <c r="G120" i="85"/>
  <c r="I120" i="85" s="1"/>
  <c r="F120" i="85"/>
  <c r="G119" i="85"/>
  <c r="I119" i="85" s="1"/>
  <c r="F119" i="85"/>
  <c r="G118" i="85"/>
  <c r="I118" i="85" s="1"/>
  <c r="F118" i="85"/>
  <c r="G117" i="85"/>
  <c r="I117" i="85" s="1"/>
  <c r="F117" i="85"/>
  <c r="G116" i="85"/>
  <c r="I116" i="85" s="1"/>
  <c r="F116" i="85"/>
  <c r="G115" i="85"/>
  <c r="I115" i="85" s="1"/>
  <c r="F115" i="85"/>
  <c r="G114" i="85"/>
  <c r="I114" i="85" s="1"/>
  <c r="F114" i="85"/>
  <c r="G113" i="85"/>
  <c r="F112" i="85"/>
  <c r="F111" i="85"/>
  <c r="F102" i="85"/>
  <c r="H102" i="85" s="1"/>
  <c r="E102" i="85"/>
  <c r="F101" i="85"/>
  <c r="H101" i="85" s="1"/>
  <c r="E101" i="85"/>
  <c r="F100" i="85"/>
  <c r="H100" i="85" s="1"/>
  <c r="E100" i="85"/>
  <c r="F99" i="85"/>
  <c r="H99" i="85" s="1"/>
  <c r="E99" i="85"/>
  <c r="F98" i="85"/>
  <c r="H98" i="85" s="1"/>
  <c r="E98" i="85"/>
  <c r="F97" i="85"/>
  <c r="H97" i="85" s="1"/>
  <c r="E97" i="85"/>
  <c r="F96" i="85"/>
  <c r="H96" i="85" s="1"/>
  <c r="E96" i="85"/>
  <c r="F95" i="85"/>
  <c r="H95" i="85" s="1"/>
  <c r="E95" i="85"/>
  <c r="F94" i="85"/>
  <c r="H94" i="85" s="1"/>
  <c r="E94" i="85"/>
  <c r="F93" i="85"/>
  <c r="H93" i="85" s="1"/>
  <c r="E93" i="85"/>
  <c r="F92" i="85"/>
  <c r="H92" i="85" s="1"/>
  <c r="E92" i="85"/>
  <c r="F91" i="85"/>
  <c r="H91" i="85" s="1"/>
  <c r="E91" i="85"/>
  <c r="F90" i="85"/>
  <c r="H90" i="85" s="1"/>
  <c r="E90" i="85"/>
  <c r="F89" i="85"/>
  <c r="H89" i="85" s="1"/>
  <c r="E89" i="85"/>
  <c r="F88" i="85"/>
  <c r="H88" i="85" s="1"/>
  <c r="E88" i="85"/>
  <c r="F87" i="85"/>
  <c r="H87" i="85" s="1"/>
  <c r="E87" i="85"/>
  <c r="F86" i="85"/>
  <c r="H86" i="85" s="1"/>
  <c r="E86" i="85"/>
  <c r="E85" i="85"/>
  <c r="E84" i="85"/>
  <c r="E83" i="85"/>
  <c r="F47" i="85"/>
  <c r="H47" i="85" s="1"/>
  <c r="E47" i="85"/>
  <c r="F46" i="85"/>
  <c r="H46" i="85" s="1"/>
  <c r="E46" i="85"/>
  <c r="F45" i="85"/>
  <c r="H45" i="85" s="1"/>
  <c r="E45" i="85"/>
  <c r="F44" i="85"/>
  <c r="H44" i="85" s="1"/>
  <c r="E44" i="85"/>
  <c r="F43" i="85"/>
  <c r="H43" i="85" s="1"/>
  <c r="E43" i="85"/>
  <c r="F42" i="85"/>
  <c r="H42" i="85" s="1"/>
  <c r="E42" i="85"/>
  <c r="F41" i="85"/>
  <c r="H41" i="85" s="1"/>
  <c r="E41" i="85"/>
  <c r="F40" i="85"/>
  <c r="H40" i="85" s="1"/>
  <c r="E40" i="85"/>
  <c r="F39" i="85"/>
  <c r="H39" i="85" s="1"/>
  <c r="E39" i="85"/>
  <c r="F38" i="85"/>
  <c r="H38" i="85" s="1"/>
  <c r="E38" i="85"/>
  <c r="F37" i="85"/>
  <c r="H37" i="85" s="1"/>
  <c r="E37" i="85"/>
  <c r="F36" i="85"/>
  <c r="H36" i="85" s="1"/>
  <c r="E36" i="85"/>
  <c r="F35" i="85"/>
  <c r="H35" i="85" s="1"/>
  <c r="E35" i="85"/>
  <c r="E34" i="85"/>
  <c r="F33" i="85"/>
  <c r="H33" i="85" s="1"/>
  <c r="E33" i="85"/>
  <c r="F32" i="85"/>
  <c r="H32" i="85" s="1"/>
  <c r="E32" i="85"/>
  <c r="E31" i="85"/>
  <c r="F30" i="85"/>
  <c r="E30" i="85"/>
  <c r="E29" i="85"/>
  <c r="E28" i="85"/>
  <c r="E74" i="84"/>
  <c r="G65" i="84"/>
  <c r="G64" i="84"/>
  <c r="G63" i="84"/>
  <c r="G62" i="84"/>
  <c r="G61" i="84"/>
  <c r="G60" i="84"/>
  <c r="G59" i="84"/>
  <c r="G58" i="84"/>
  <c r="G57" i="84"/>
  <c r="G56" i="84"/>
  <c r="G55" i="84"/>
  <c r="G54" i="84"/>
  <c r="G53" i="84"/>
  <c r="G52" i="84"/>
  <c r="G51" i="84"/>
  <c r="G50" i="84"/>
  <c r="G49" i="84"/>
  <c r="G48" i="84"/>
  <c r="G40" i="84"/>
  <c r="G39" i="84"/>
  <c r="G38" i="84"/>
  <c r="G37" i="84"/>
  <c r="G36" i="84"/>
  <c r="G35" i="84"/>
  <c r="G34" i="84"/>
  <c r="G33" i="84"/>
  <c r="G32" i="84"/>
  <c r="G31" i="84"/>
  <c r="G29" i="84"/>
  <c r="G28" i="84"/>
  <c r="G27" i="84"/>
  <c r="G26" i="84"/>
  <c r="G25" i="84"/>
  <c r="G24" i="84"/>
  <c r="G23" i="84"/>
  <c r="E25" i="82"/>
  <c r="E24" i="82"/>
  <c r="E23" i="82"/>
  <c r="E22" i="82"/>
  <c r="E20" i="80"/>
  <c r="E19" i="80"/>
  <c r="E18" i="80"/>
  <c r="E17" i="80"/>
  <c r="E16" i="80"/>
  <c r="E15" i="80"/>
  <c r="E14" i="80"/>
  <c r="D155" i="77"/>
  <c r="N63" i="76"/>
  <c r="G63" i="76"/>
  <c r="N24" i="76"/>
  <c r="E33" i="69"/>
  <c r="E34" i="69" s="1"/>
  <c r="E134" i="102" l="1"/>
  <c r="E100" i="102"/>
  <c r="E110" i="102"/>
  <c r="E84" i="102"/>
  <c r="E102" i="102"/>
  <c r="D228" i="102"/>
  <c r="E98" i="102"/>
  <c r="E145" i="102"/>
  <c r="E153" i="102"/>
  <c r="E172" i="102"/>
  <c r="E118" i="102"/>
  <c r="E171" i="102"/>
  <c r="E169" i="102"/>
  <c r="E167" i="102"/>
  <c r="E90" i="102"/>
  <c r="E143" i="102"/>
  <c r="E165" i="102"/>
  <c r="E92" i="102"/>
  <c r="E126" i="102"/>
  <c r="E136" i="102"/>
  <c r="E104" i="102"/>
  <c r="E111" i="102"/>
  <c r="E147" i="102"/>
  <c r="E130" i="102"/>
  <c r="E128" i="102"/>
  <c r="E96" i="102"/>
  <c r="E120" i="102"/>
  <c r="E151" i="102"/>
  <c r="E155" i="102"/>
  <c r="E82" i="102"/>
  <c r="E132" i="102"/>
  <c r="E113" i="102"/>
  <c r="C204" i="102"/>
  <c r="G25" i="79"/>
  <c r="G26" i="79"/>
  <c r="G31" i="79"/>
  <c r="G32" i="79"/>
  <c r="G81" i="86"/>
  <c r="G83" i="86"/>
  <c r="G94" i="86"/>
  <c r="G91" i="86"/>
  <c r="G90" i="86"/>
  <c r="G89" i="86"/>
  <c r="G96" i="86"/>
  <c r="G86" i="86"/>
  <c r="G93" i="86"/>
  <c r="G95" i="86"/>
  <c r="G84" i="86"/>
  <c r="G87" i="86"/>
  <c r="G85" i="86"/>
  <c r="G82" i="86"/>
  <c r="G92" i="86"/>
  <c r="G88" i="86"/>
  <c r="G28" i="85"/>
  <c r="P83" i="85"/>
  <c r="Q111" i="85"/>
  <c r="G83" i="85"/>
  <c r="H111" i="85"/>
  <c r="Q56" i="85"/>
  <c r="P28" i="85"/>
  <c r="F17" i="69"/>
  <c r="I17" i="69" s="1"/>
  <c r="G28" i="79"/>
  <c r="E20" i="82"/>
  <c r="E263" i="102"/>
  <c r="G59" i="110" s="1"/>
  <c r="G63" i="102"/>
  <c r="C33" i="79"/>
  <c r="G33" i="79" s="1"/>
  <c r="G65" i="102"/>
  <c r="C35" i="79"/>
  <c r="G35" i="79" s="1"/>
  <c r="G64" i="102"/>
  <c r="C34" i="79"/>
  <c r="G34" i="79" s="1"/>
  <c r="F30" i="102"/>
  <c r="F29" i="102" s="1"/>
  <c r="C20" i="79"/>
  <c r="G20" i="79" s="1"/>
  <c r="E59" i="79"/>
  <c r="P103" i="85"/>
  <c r="Q76" i="85"/>
  <c r="P48" i="85"/>
  <c r="Q131" i="85"/>
  <c r="O18" i="91"/>
  <c r="M18" i="91" s="1"/>
  <c r="I56" i="85" s="1"/>
  <c r="M17" i="87"/>
  <c r="E12" i="80"/>
  <c r="E23" i="75" s="1"/>
  <c r="J49" i="94"/>
  <c r="J57" i="94"/>
  <c r="J34" i="94"/>
  <c r="J42" i="94"/>
  <c r="J27" i="94"/>
  <c r="J35" i="94"/>
  <c r="J47" i="94"/>
  <c r="J55" i="94"/>
  <c r="J59" i="94"/>
  <c r="J24" i="94"/>
  <c r="J40" i="94"/>
  <c r="J44" i="94"/>
  <c r="J52" i="94"/>
  <c r="F84" i="85"/>
  <c r="E63" i="102"/>
  <c r="F63" i="102"/>
  <c r="C209" i="102"/>
  <c r="G21" i="104"/>
  <c r="H21" i="104" s="1"/>
  <c r="R12" i="104" s="1"/>
  <c r="G108" i="110"/>
  <c r="D30" i="102"/>
  <c r="D29" i="102" s="1"/>
  <c r="E64" i="102"/>
  <c r="E30" i="102"/>
  <c r="E29" i="102" s="1"/>
  <c r="F64" i="102"/>
  <c r="F65" i="102"/>
  <c r="E65" i="102"/>
  <c r="G35" i="102"/>
  <c r="G34" i="102"/>
  <c r="G38" i="102"/>
  <c r="G111" i="85"/>
  <c r="J41" i="94"/>
  <c r="F31" i="85"/>
  <c r="J43" i="94"/>
  <c r="BP51" i="103"/>
  <c r="J25" i="94"/>
  <c r="J26" i="94"/>
  <c r="J36" i="94"/>
  <c r="E146" i="102"/>
  <c r="J50" i="94"/>
  <c r="J53" i="94"/>
  <c r="G112" i="85"/>
  <c r="J51" i="94"/>
  <c r="E157" i="102"/>
  <c r="E164" i="102"/>
  <c r="E127" i="102"/>
  <c r="E150" i="102"/>
  <c r="J54" i="94"/>
  <c r="G57" i="83"/>
  <c r="J56" i="94"/>
  <c r="E142" i="102"/>
  <c r="BP124" i="103"/>
  <c r="J48" i="94"/>
  <c r="J66" i="94"/>
  <c r="BP19" i="103"/>
  <c r="J67" i="94"/>
  <c r="BP6" i="103"/>
  <c r="F49" i="92"/>
  <c r="F68" i="92" s="1"/>
  <c r="BP236" i="103"/>
  <c r="BP107" i="103"/>
  <c r="J58" i="94"/>
  <c r="J68" i="94"/>
  <c r="BP231" i="103"/>
  <c r="J33" i="94"/>
  <c r="E131" i="102"/>
  <c r="E152" i="102"/>
  <c r="E170" i="102"/>
  <c r="E135" i="102"/>
  <c r="E144" i="102"/>
  <c r="E166" i="102"/>
  <c r="E125" i="102"/>
  <c r="E148" i="102"/>
  <c r="E85" i="102"/>
  <c r="BP146" i="103"/>
  <c r="BP131" i="103"/>
  <c r="BP23" i="103"/>
  <c r="BP67" i="103"/>
  <c r="BP257" i="103"/>
  <c r="BP24" i="103"/>
  <c r="BP41" i="103"/>
  <c r="BP157" i="103"/>
  <c r="BP234" i="103"/>
  <c r="BP192" i="103"/>
  <c r="BP277" i="103"/>
  <c r="BP128" i="103"/>
  <c r="BP242" i="103"/>
  <c r="BP39" i="103"/>
  <c r="BP183" i="103"/>
  <c r="BP185" i="103"/>
  <c r="BP61" i="103"/>
  <c r="BP247" i="103"/>
  <c r="BP197" i="103"/>
  <c r="BP7" i="103"/>
  <c r="BP106" i="103"/>
  <c r="BP273" i="103"/>
  <c r="BP221" i="103"/>
  <c r="BP50" i="103"/>
  <c r="BP122" i="103"/>
  <c r="BP214" i="103"/>
  <c r="BP96" i="103"/>
  <c r="BP211" i="103"/>
  <c r="BP100" i="103"/>
  <c r="G32" i="102"/>
  <c r="G31" i="102"/>
  <c r="BP203" i="103"/>
  <c r="BP218" i="103"/>
  <c r="BP168" i="103"/>
  <c r="BP91" i="103"/>
  <c r="BP52" i="103"/>
  <c r="BP47" i="103"/>
  <c r="BP9" i="103"/>
  <c r="BP152" i="103"/>
  <c r="BP145" i="103"/>
  <c r="BP10" i="103"/>
  <c r="BP108" i="103"/>
  <c r="BP102" i="103"/>
  <c r="BP123" i="103"/>
  <c r="BP186" i="103"/>
  <c r="BP92" i="103"/>
  <c r="BP28" i="103"/>
  <c r="BP275" i="103"/>
  <c r="BP244" i="103"/>
  <c r="BP208" i="103"/>
  <c r="BP132" i="103"/>
  <c r="BP86" i="103"/>
  <c r="BP74" i="103"/>
  <c r="BP26" i="103"/>
  <c r="BP153" i="103"/>
  <c r="BP228" i="103"/>
  <c r="BP58" i="103"/>
  <c r="BP85" i="103"/>
  <c r="BP12" i="103"/>
  <c r="BP184" i="103"/>
  <c r="BP43" i="103"/>
  <c r="BP82" i="103"/>
  <c r="BP280" i="103"/>
  <c r="BP195" i="103"/>
  <c r="BP213" i="103"/>
  <c r="BP54" i="103"/>
  <c r="BP139" i="103"/>
  <c r="BP30" i="103"/>
  <c r="BP45" i="103"/>
  <c r="BP248" i="103"/>
  <c r="BP222" i="103"/>
  <c r="BP251" i="103"/>
  <c r="BP271" i="103"/>
  <c r="BP180" i="103"/>
  <c r="BP174" i="103"/>
  <c r="BP80" i="103"/>
  <c r="BP118" i="103"/>
  <c r="BP42" i="103"/>
  <c r="BP31" i="103"/>
  <c r="E129" i="102"/>
  <c r="BP241" i="103"/>
  <c r="BP194" i="103"/>
  <c r="BP178" i="103"/>
  <c r="BP250" i="103"/>
  <c r="BP64" i="103"/>
  <c r="BP116" i="103"/>
  <c r="BP84" i="103"/>
  <c r="BP5" i="103"/>
  <c r="BP126" i="103"/>
  <c r="BP155" i="103"/>
  <c r="BP110" i="103"/>
  <c r="BP158" i="103"/>
  <c r="BP279" i="103"/>
  <c r="BP171" i="103"/>
  <c r="BP167" i="103"/>
  <c r="BP176" i="103"/>
  <c r="BP35" i="103"/>
  <c r="BP267" i="103"/>
  <c r="BP201" i="103"/>
  <c r="BP115" i="103"/>
  <c r="BP27" i="103"/>
  <c r="BP224" i="103"/>
  <c r="BP164" i="103"/>
  <c r="BP136" i="103"/>
  <c r="BP114" i="103"/>
  <c r="BP258" i="103"/>
  <c r="BP188" i="103"/>
  <c r="BP127" i="103"/>
  <c r="BP141" i="103"/>
  <c r="BP25" i="103"/>
  <c r="BP29" i="103"/>
  <c r="BP206" i="103"/>
  <c r="BP177" i="103"/>
  <c r="BP65" i="103"/>
  <c r="BP13" i="103"/>
  <c r="BP263" i="103"/>
  <c r="BP237" i="103"/>
  <c r="BP220" i="103"/>
  <c r="BP238" i="103"/>
  <c r="BP198" i="103"/>
  <c r="BP166" i="103"/>
  <c r="BP60" i="103"/>
  <c r="D78" i="102"/>
  <c r="BP191" i="103"/>
  <c r="BP20" i="103"/>
  <c r="BP76" i="103"/>
  <c r="BP46" i="103"/>
  <c r="BP55" i="103"/>
  <c r="BP215" i="103"/>
  <c r="BP3" i="103"/>
  <c r="BP104" i="103"/>
  <c r="BP179" i="103"/>
  <c r="BP239" i="103"/>
  <c r="BP134" i="103"/>
  <c r="BP71" i="103"/>
  <c r="BP265" i="103"/>
  <c r="BP34" i="103"/>
  <c r="BP44" i="103"/>
  <c r="BP270" i="103"/>
  <c r="BP260" i="103"/>
  <c r="BP140" i="103"/>
  <c r="BP135" i="103"/>
  <c r="BP255" i="103"/>
  <c r="BP233" i="103"/>
  <c r="BP160" i="103"/>
  <c r="BP190" i="103"/>
  <c r="BP94" i="103"/>
  <c r="BP112" i="103"/>
  <c r="BP90" i="103"/>
  <c r="BP59" i="103"/>
  <c r="BP14" i="103"/>
  <c r="BP38" i="103"/>
  <c r="BP249" i="103"/>
  <c r="BP199" i="103"/>
  <c r="BP98" i="103"/>
  <c r="BP101" i="103"/>
  <c r="BP268" i="103"/>
  <c r="BP125" i="103"/>
  <c r="BP81" i="103"/>
  <c r="BP154" i="103"/>
  <c r="BP143" i="103"/>
  <c r="BP109" i="103"/>
  <c r="BP21" i="103"/>
  <c r="BP77" i="103"/>
  <c r="BP18" i="103"/>
  <c r="BP40" i="103"/>
  <c r="E139" i="102"/>
  <c r="E101" i="102"/>
  <c r="G36" i="102"/>
  <c r="E133" i="102"/>
  <c r="BP62" i="103"/>
  <c r="E119" i="102"/>
  <c r="BP97" i="103"/>
  <c r="BP163" i="103"/>
  <c r="BP75" i="103"/>
  <c r="E137" i="102"/>
  <c r="E81" i="102"/>
  <c r="BP226" i="103"/>
  <c r="BP259" i="103"/>
  <c r="BP230" i="103"/>
  <c r="BP219" i="103"/>
  <c r="BP196" i="103"/>
  <c r="BP137" i="103"/>
  <c r="BP212" i="103"/>
  <c r="BP99" i="103"/>
  <c r="BP89" i="103"/>
  <c r="BP193" i="103"/>
  <c r="BP17" i="103"/>
  <c r="BP119" i="103"/>
  <c r="BP48" i="103"/>
  <c r="E93" i="102"/>
  <c r="E114" i="102"/>
  <c r="E103" i="102"/>
  <c r="H61" i="102"/>
  <c r="E154" i="102"/>
  <c r="E95" i="102"/>
  <c r="E91" i="102"/>
  <c r="E156" i="102"/>
  <c r="E87" i="102"/>
  <c r="BP63" i="103"/>
  <c r="BP243" i="103"/>
  <c r="BP269" i="103"/>
  <c r="BP169" i="103"/>
  <c r="BP232" i="103"/>
  <c r="BP182" i="103"/>
  <c r="BP165" i="103"/>
  <c r="BP147" i="103"/>
  <c r="BP95" i="103"/>
  <c r="BP217" i="103"/>
  <c r="BP170" i="103"/>
  <c r="BP175" i="103"/>
  <c r="BP150" i="103"/>
  <c r="BP133" i="103"/>
  <c r="BP121" i="103"/>
  <c r="BP53" i="103"/>
  <c r="BP36" i="103"/>
  <c r="BP200" i="103"/>
  <c r="BP87" i="103"/>
  <c r="BP56" i="103"/>
  <c r="BP15" i="103"/>
  <c r="BP156" i="103"/>
  <c r="BP181" i="103"/>
  <c r="E123" i="102"/>
  <c r="E83" i="102"/>
  <c r="E105" i="102"/>
  <c r="E160" i="102"/>
  <c r="E121" i="102"/>
  <c r="E140" i="102"/>
  <c r="BP276" i="103"/>
  <c r="BP266" i="103"/>
  <c r="BP209" i="103"/>
  <c r="BP210" i="103"/>
  <c r="BP223" i="103"/>
  <c r="BP227" i="103"/>
  <c r="BP173" i="103"/>
  <c r="BP78" i="103"/>
  <c r="BP113" i="103"/>
  <c r="BP207" i="103"/>
  <c r="BP204" i="103"/>
  <c r="BP162" i="103"/>
  <c r="BP49" i="103"/>
  <c r="BP69" i="103"/>
  <c r="BP144" i="103"/>
  <c r="E158" i="102"/>
  <c r="G37" i="102"/>
  <c r="BP37" i="103"/>
  <c r="E174" i="102"/>
  <c r="E117" i="102"/>
  <c r="H62" i="102"/>
  <c r="E112" i="102"/>
  <c r="BP272" i="103"/>
  <c r="BP254" i="103"/>
  <c r="BP264" i="103"/>
  <c r="BP161" i="103"/>
  <c r="BP138" i="103"/>
  <c r="BP202" i="103"/>
  <c r="BP148" i="103"/>
  <c r="BP149" i="103"/>
  <c r="BP111" i="103"/>
  <c r="BP16" i="103"/>
  <c r="BP142" i="103"/>
  <c r="BP72" i="103"/>
  <c r="BP70" i="103"/>
  <c r="BP79" i="103"/>
  <c r="BP32" i="103"/>
  <c r="BP278" i="103"/>
  <c r="BP225" i="103"/>
  <c r="BP235" i="103"/>
  <c r="BP256" i="103"/>
  <c r="BP205" i="103"/>
  <c r="BP151" i="103"/>
  <c r="BP117" i="103"/>
  <c r="BP93" i="103"/>
  <c r="BP57" i="103"/>
  <c r="BP172" i="103"/>
  <c r="BP68" i="103"/>
  <c r="BP4" i="103"/>
  <c r="BP8" i="103"/>
  <c r="E109" i="102"/>
  <c r="E116" i="102"/>
  <c r="E99" i="102"/>
  <c r="E89" i="102"/>
  <c r="G33" i="102"/>
  <c r="BP66" i="103"/>
  <c r="E107" i="102"/>
  <c r="E97" i="102"/>
  <c r="BP253" i="103"/>
  <c r="BP274" i="103"/>
  <c r="BP240" i="103"/>
  <c r="BP252" i="103"/>
  <c r="BP262" i="103"/>
  <c r="BP246" i="103"/>
  <c r="BP229" i="103"/>
  <c r="BP216" i="103"/>
  <c r="BP245" i="103"/>
  <c r="BP261" i="103"/>
  <c r="BP130" i="103"/>
  <c r="BP120" i="103"/>
  <c r="BP88" i="103"/>
  <c r="BP187" i="103"/>
  <c r="BP105" i="103"/>
  <c r="BP189" i="103"/>
  <c r="BP22" i="103"/>
  <c r="BP33" i="103"/>
  <c r="BP129" i="103"/>
  <c r="BP83" i="103"/>
  <c r="BP103" i="103"/>
  <c r="E168" i="102"/>
  <c r="E162" i="102"/>
  <c r="D73" i="81"/>
  <c r="J28" i="94"/>
  <c r="J32" i="94"/>
  <c r="J39" i="94"/>
  <c r="D49" i="79"/>
  <c r="F49" i="79" s="1"/>
  <c r="G42" i="83"/>
  <c r="G50" i="83"/>
  <c r="F29" i="85"/>
  <c r="J64" i="94"/>
  <c r="G43" i="83"/>
  <c r="G51" i="83"/>
  <c r="D50" i="79"/>
  <c r="F50" i="79" s="1"/>
  <c r="G44" i="83"/>
  <c r="G52" i="83"/>
  <c r="J23" i="94"/>
  <c r="J29" i="94"/>
  <c r="J61" i="94"/>
  <c r="J65" i="94"/>
  <c r="G45" i="83"/>
  <c r="G53" i="83"/>
  <c r="F85" i="85"/>
  <c r="H85" i="85" s="1"/>
  <c r="G46" i="83"/>
  <c r="G54" i="83"/>
  <c r="J37" i="94"/>
  <c r="J62" i="94"/>
  <c r="J69" i="94"/>
  <c r="G47" i="83"/>
  <c r="G55" i="83"/>
  <c r="F83" i="85"/>
  <c r="J31" i="94"/>
  <c r="G40" i="83"/>
  <c r="G48" i="83"/>
  <c r="G56" i="83"/>
  <c r="F23" i="92"/>
  <c r="J45" i="94"/>
  <c r="J63" i="94"/>
  <c r="G41" i="83"/>
  <c r="G49" i="83"/>
  <c r="J21" i="94"/>
  <c r="N45" i="76"/>
  <c r="E21" i="75" s="1"/>
  <c r="G45" i="76"/>
  <c r="G17" i="70"/>
  <c r="G46" i="81"/>
  <c r="E24" i="75" s="1"/>
  <c r="F113" i="83"/>
  <c r="G44" i="91"/>
  <c r="J30" i="94"/>
  <c r="J60" i="94"/>
  <c r="J38" i="94"/>
  <c r="M8" i="87"/>
  <c r="J22" i="94"/>
  <c r="M17" i="91"/>
  <c r="J46" i="94"/>
  <c r="C203" i="102" l="1"/>
  <c r="E22" i="104"/>
  <c r="G60" i="102"/>
  <c r="H63" i="102"/>
  <c r="G97" i="86"/>
  <c r="H83" i="85"/>
  <c r="G29" i="79"/>
  <c r="G36" i="79"/>
  <c r="E20" i="75"/>
  <c r="G41" i="79"/>
  <c r="G42" i="79"/>
  <c r="E40" i="79"/>
  <c r="G40" i="79" s="1"/>
  <c r="G43" i="79" s="1"/>
  <c r="F51" i="79"/>
  <c r="I112" i="85"/>
  <c r="I111" i="85"/>
  <c r="R56" i="85"/>
  <c r="Q84" i="85"/>
  <c r="Q103" i="85" s="1"/>
  <c r="Q83" i="85"/>
  <c r="R112" i="85"/>
  <c r="R131" i="85" s="1"/>
  <c r="R57" i="85"/>
  <c r="R76" i="85" s="1"/>
  <c r="R111" i="85"/>
  <c r="Q29" i="85"/>
  <c r="Q48" i="85" s="1"/>
  <c r="Q28" i="85"/>
  <c r="I57" i="85"/>
  <c r="I76" i="85" s="1"/>
  <c r="I113" i="85"/>
  <c r="H31" i="85"/>
  <c r="H30" i="85"/>
  <c r="H29" i="85"/>
  <c r="H84" i="85"/>
  <c r="H103" i="85" s="1"/>
  <c r="H28" i="85"/>
  <c r="G38" i="83"/>
  <c r="I226" i="87"/>
  <c r="G39" i="83"/>
  <c r="G58" i="83" s="1"/>
  <c r="E27" i="104"/>
  <c r="N16" i="104" s="1"/>
  <c r="G62" i="110"/>
  <c r="E60" i="102"/>
  <c r="H9" i="110"/>
  <c r="H10" i="110"/>
  <c r="H8" i="110"/>
  <c r="G30" i="102"/>
  <c r="H64" i="102"/>
  <c r="F60" i="102"/>
  <c r="H65" i="102"/>
  <c r="F42" i="92"/>
  <c r="E30" i="75" s="1"/>
  <c r="E78" i="102"/>
  <c r="E11" i="104" s="1"/>
  <c r="N10" i="104" s="1"/>
  <c r="H86" i="83"/>
  <c r="H104" i="77"/>
  <c r="J70" i="94"/>
  <c r="E34" i="75" s="1"/>
  <c r="G22" i="104" l="1"/>
  <c r="H22" i="104" s="1"/>
  <c r="R13" i="104" s="1"/>
  <c r="N12" i="104"/>
  <c r="D207" i="102"/>
  <c r="D208" i="102"/>
  <c r="D212" i="102"/>
  <c r="D204" i="102"/>
  <c r="D206" i="102"/>
  <c r="D205" i="102"/>
  <c r="D213" i="102"/>
  <c r="D211" i="102"/>
  <c r="D209" i="102"/>
  <c r="D210" i="102"/>
  <c r="G109" i="110"/>
  <c r="H48" i="85"/>
  <c r="E22" i="75"/>
  <c r="G60" i="110" s="1"/>
  <c r="I131" i="85"/>
  <c r="E25" i="75"/>
  <c r="I124" i="87"/>
  <c r="I136" i="87"/>
  <c r="I154" i="87"/>
  <c r="I16" i="87"/>
  <c r="I322" i="87"/>
  <c r="I280" i="87"/>
  <c r="I106" i="87"/>
  <c r="I40" i="87"/>
  <c r="I250" i="87"/>
  <c r="I220" i="87"/>
  <c r="I274" i="87"/>
  <c r="I286" i="87"/>
  <c r="I262" i="87"/>
  <c r="I88" i="87"/>
  <c r="I196" i="87"/>
  <c r="I160" i="87"/>
  <c r="I298" i="87"/>
  <c r="I34" i="87"/>
  <c r="I130" i="87"/>
  <c r="I112" i="87"/>
  <c r="I304" i="87"/>
  <c r="I208" i="87"/>
  <c r="I100" i="87"/>
  <c r="I310" i="87"/>
  <c r="I22" i="87"/>
  <c r="I238" i="87"/>
  <c r="I148" i="87"/>
  <c r="I58" i="87"/>
  <c r="I46" i="87"/>
  <c r="I28" i="87"/>
  <c r="I64" i="87"/>
  <c r="I184" i="87"/>
  <c r="I202" i="87"/>
  <c r="I142" i="87"/>
  <c r="I82" i="87"/>
  <c r="I190" i="87"/>
  <c r="I232" i="87"/>
  <c r="I292" i="87"/>
  <c r="I268" i="87"/>
  <c r="I178" i="87"/>
  <c r="I166" i="87"/>
  <c r="I256" i="87"/>
  <c r="I94" i="87"/>
  <c r="I118" i="87"/>
  <c r="I244" i="87"/>
  <c r="I172" i="87"/>
  <c r="I316" i="87"/>
  <c r="I214" i="87"/>
  <c r="I70" i="87"/>
  <c r="I52" i="87"/>
  <c r="I76" i="87"/>
  <c r="G103" i="85"/>
  <c r="S29" i="112"/>
  <c r="E27" i="86" s="1"/>
  <c r="I51" i="87"/>
  <c r="I243" i="87"/>
  <c r="I201" i="87"/>
  <c r="I273" i="87"/>
  <c r="I303" i="87"/>
  <c r="I57" i="87"/>
  <c r="I81" i="87"/>
  <c r="I105" i="87"/>
  <c r="I309" i="87"/>
  <c r="I153" i="87"/>
  <c r="I267" i="87"/>
  <c r="I45" i="87"/>
  <c r="I165" i="87"/>
  <c r="I21" i="87"/>
  <c r="I99" i="87"/>
  <c r="I123" i="87"/>
  <c r="I315" i="87"/>
  <c r="I183" i="87"/>
  <c r="I117" i="87"/>
  <c r="I15" i="87"/>
  <c r="I291" i="87"/>
  <c r="I189" i="87"/>
  <c r="I93" i="87"/>
  <c r="I249" i="87"/>
  <c r="I87" i="87"/>
  <c r="I69" i="87"/>
  <c r="I213" i="87"/>
  <c r="I159" i="87"/>
  <c r="I135" i="87"/>
  <c r="I39" i="87"/>
  <c r="I63" i="87"/>
  <c r="I141" i="87"/>
  <c r="I177" i="87"/>
  <c r="I237" i="87"/>
  <c r="I207" i="87"/>
  <c r="I27" i="87"/>
  <c r="I147" i="87"/>
  <c r="I255" i="87"/>
  <c r="I75" i="87"/>
  <c r="I129" i="87"/>
  <c r="I279" i="87"/>
  <c r="I171" i="87"/>
  <c r="I297" i="87"/>
  <c r="I225" i="87"/>
  <c r="I261" i="87"/>
  <c r="I231" i="87"/>
  <c r="I33" i="87"/>
  <c r="I111" i="87"/>
  <c r="I195" i="87"/>
  <c r="I321" i="87"/>
  <c r="I285" i="87"/>
  <c r="I219" i="87"/>
  <c r="H131" i="85"/>
  <c r="E34" i="104"/>
  <c r="G74" i="110"/>
  <c r="E38" i="104"/>
  <c r="N24" i="104" s="1"/>
  <c r="G78" i="110"/>
  <c r="G63" i="110"/>
  <c r="E25" i="104"/>
  <c r="N14" i="104" s="1"/>
  <c r="G80" i="110"/>
  <c r="E24" i="104"/>
  <c r="G68" i="110"/>
  <c r="H60" i="102"/>
  <c r="E9" i="104" s="1"/>
  <c r="G11" i="104"/>
  <c r="H11" i="104" s="1"/>
  <c r="R10" i="104" s="1"/>
  <c r="G104" i="110"/>
  <c r="G53" i="110"/>
  <c r="G54" i="110"/>
  <c r="H6" i="110"/>
  <c r="H7" i="110"/>
  <c r="H5" i="110"/>
  <c r="G29" i="102"/>
  <c r="D8" i="104" s="1"/>
  <c r="N8" i="104" s="1"/>
  <c r="G48" i="85"/>
  <c r="H76" i="85"/>
  <c r="D20" i="104" l="1"/>
  <c r="E14" i="75" s="1"/>
  <c r="G69" i="110"/>
  <c r="N13" i="104"/>
  <c r="G75" i="110"/>
  <c r="N22" i="104"/>
  <c r="G9" i="104"/>
  <c r="H9" i="104" s="1"/>
  <c r="R9" i="104" s="1"/>
  <c r="N9" i="104"/>
  <c r="D203" i="102"/>
  <c r="E26" i="104"/>
  <c r="E32" i="75"/>
  <c r="E27" i="75"/>
  <c r="E66" i="86"/>
  <c r="C3" i="87"/>
  <c r="E57" i="86"/>
  <c r="E60" i="86"/>
  <c r="E25" i="86"/>
  <c r="E54" i="86"/>
  <c r="E33" i="86"/>
  <c r="E28" i="86"/>
  <c r="E71" i="86"/>
  <c r="E67" i="86"/>
  <c r="E38" i="86"/>
  <c r="E65" i="86"/>
  <c r="E31" i="86"/>
  <c r="E36" i="86"/>
  <c r="E62" i="86"/>
  <c r="E42" i="86"/>
  <c r="E69" i="86"/>
  <c r="E35" i="86"/>
  <c r="E72" i="86"/>
  <c r="E64" i="86"/>
  <c r="E61" i="86"/>
  <c r="E43" i="86"/>
  <c r="E30" i="86"/>
  <c r="E70" i="86"/>
  <c r="E44" i="86"/>
  <c r="E34" i="86"/>
  <c r="E58" i="86"/>
  <c r="E29" i="86"/>
  <c r="E63" i="86"/>
  <c r="E32" i="86"/>
  <c r="E41" i="86"/>
  <c r="E59" i="86"/>
  <c r="E37" i="86"/>
  <c r="E55" i="86"/>
  <c r="E40" i="86"/>
  <c r="E68" i="86"/>
  <c r="E56" i="86"/>
  <c r="E39" i="86"/>
  <c r="E53" i="86"/>
  <c r="G46" i="110"/>
  <c r="G79" i="110"/>
  <c r="E44" i="104"/>
  <c r="E29" i="104"/>
  <c r="N18" i="104" s="1"/>
  <c r="G66" i="110"/>
  <c r="G47" i="110"/>
  <c r="G48" i="110"/>
  <c r="G81" i="110"/>
  <c r="G57" i="110"/>
  <c r="G107" i="110"/>
  <c r="G8" i="104"/>
  <c r="H8" i="104" s="1"/>
  <c r="R8" i="104" s="1"/>
  <c r="G106" i="110"/>
  <c r="G56" i="110"/>
  <c r="M32" i="104" l="1"/>
  <c r="G44" i="110"/>
  <c r="N15" i="104"/>
  <c r="G61" i="110"/>
  <c r="I187" i="87"/>
  <c r="I109" i="87"/>
  <c r="I313" i="87"/>
  <c r="I283" i="87"/>
  <c r="I61" i="87"/>
  <c r="I211" i="87"/>
  <c r="I55" i="87"/>
  <c r="I253" i="87"/>
  <c r="I121" i="87"/>
  <c r="I73" i="87"/>
  <c r="I67" i="87"/>
  <c r="I181" i="87"/>
  <c r="I85" i="87"/>
  <c r="I91" i="87"/>
  <c r="I13" i="87"/>
  <c r="I103" i="87"/>
  <c r="I319" i="87"/>
  <c r="I301" i="87"/>
  <c r="I43" i="87"/>
  <c r="I205" i="87"/>
  <c r="I145" i="87"/>
  <c r="I307" i="87"/>
  <c r="I247" i="87"/>
  <c r="I241" i="87"/>
  <c r="I217" i="87"/>
  <c r="I235" i="87"/>
  <c r="I271" i="87"/>
  <c r="I175" i="87"/>
  <c r="I277" i="87"/>
  <c r="I37" i="87"/>
  <c r="I49" i="87"/>
  <c r="I229" i="87"/>
  <c r="I19" i="87"/>
  <c r="I223" i="87"/>
  <c r="I259" i="87"/>
  <c r="I127" i="87"/>
  <c r="I295" i="87"/>
  <c r="I193" i="87"/>
  <c r="I199" i="87"/>
  <c r="I115" i="87"/>
  <c r="I139" i="87"/>
  <c r="I151" i="87"/>
  <c r="I31" i="87"/>
  <c r="I169" i="87"/>
  <c r="I79" i="87"/>
  <c r="I289" i="87"/>
  <c r="I97" i="87"/>
  <c r="I133" i="87"/>
  <c r="I265" i="87"/>
  <c r="I157" i="87"/>
  <c r="I25" i="87"/>
  <c r="I163" i="87"/>
  <c r="E73" i="86"/>
  <c r="E45" i="86"/>
  <c r="E36" i="104"/>
  <c r="G76" i="110"/>
  <c r="E31" i="104"/>
  <c r="N20" i="104" s="1"/>
  <c r="G72" i="110"/>
  <c r="G50" i="110"/>
  <c r="G67" i="110"/>
  <c r="G77" i="110" l="1"/>
  <c r="N23" i="104"/>
  <c r="E28" i="75"/>
  <c r="G82" i="110" s="1"/>
  <c r="I32" i="87"/>
  <c r="N10" i="87" s="1"/>
  <c r="I86" i="87"/>
  <c r="N18" i="87" s="1"/>
  <c r="I236" i="87"/>
  <c r="N43" i="87" s="1"/>
  <c r="I116" i="87"/>
  <c r="N23" i="87" s="1"/>
  <c r="I320" i="87"/>
  <c r="I272" i="87"/>
  <c r="N49" i="87" s="1"/>
  <c r="I68" i="87"/>
  <c r="N15" i="87" s="1"/>
  <c r="G46" i="84" s="1"/>
  <c r="I44" i="87"/>
  <c r="N12" i="87" s="1"/>
  <c r="G47" i="84" s="1"/>
  <c r="I266" i="87"/>
  <c r="N48" i="87" s="1"/>
  <c r="I104" i="87"/>
  <c r="N21" i="87" s="1"/>
  <c r="I188" i="87"/>
  <c r="N35" i="87" s="1"/>
  <c r="I170" i="87"/>
  <c r="N32" i="87" s="1"/>
  <c r="I206" i="87"/>
  <c r="N38" i="87" s="1"/>
  <c r="I284" i="87"/>
  <c r="N51" i="87" s="1"/>
  <c r="I62" i="87"/>
  <c r="I110" i="87"/>
  <c r="N22" i="87" s="1"/>
  <c r="I26" i="87"/>
  <c r="N9" i="87" s="1"/>
  <c r="I122" i="87"/>
  <c r="N24" i="87" s="1"/>
  <c r="I14" i="87"/>
  <c r="I146" i="87"/>
  <c r="N28" i="87" s="1"/>
  <c r="I200" i="87"/>
  <c r="N37" i="87" s="1"/>
  <c r="I254" i="87"/>
  <c r="N46" i="87" s="1"/>
  <c r="I20" i="87"/>
  <c r="N8" i="87" s="1"/>
  <c r="I164" i="87"/>
  <c r="N31" i="87" s="1"/>
  <c r="I260" i="87"/>
  <c r="N47" i="87" s="1"/>
  <c r="I152" i="87"/>
  <c r="N29" i="87" s="1"/>
  <c r="I56" i="87"/>
  <c r="N14" i="87" s="1"/>
  <c r="G22" i="84" s="1"/>
  <c r="G41" i="84" s="1"/>
  <c r="I80" i="87"/>
  <c r="N17" i="87" s="1"/>
  <c r="I98" i="87"/>
  <c r="N20" i="87" s="1"/>
  <c r="I50" i="87"/>
  <c r="N13" i="87" s="1"/>
  <c r="I230" i="87"/>
  <c r="N42" i="87" s="1"/>
  <c r="I74" i="87"/>
  <c r="N16" i="87" s="1"/>
  <c r="I308" i="87"/>
  <c r="N55" i="87" s="1"/>
  <c r="I134" i="87"/>
  <c r="N26" i="87" s="1"/>
  <c r="I92" i="87"/>
  <c r="N19" i="87" s="1"/>
  <c r="I140" i="87"/>
  <c r="N27" i="87" s="1"/>
  <c r="I296" i="87"/>
  <c r="N53" i="87" s="1"/>
  <c r="I302" i="87"/>
  <c r="N54" i="87" s="1"/>
  <c r="I314" i="87"/>
  <c r="N56" i="87" s="1"/>
  <c r="I242" i="87"/>
  <c r="N44" i="87" s="1"/>
  <c r="I194" i="87"/>
  <c r="N36" i="87" s="1"/>
  <c r="I38" i="87"/>
  <c r="N11" i="87" s="1"/>
  <c r="I212" i="87"/>
  <c r="N39" i="87" s="1"/>
  <c r="I128" i="87"/>
  <c r="N25" i="87" s="1"/>
  <c r="I218" i="87"/>
  <c r="N40" i="87" s="1"/>
  <c r="I158" i="87"/>
  <c r="N30" i="87" s="1"/>
  <c r="I278" i="87"/>
  <c r="N50" i="87" s="1"/>
  <c r="I248" i="87"/>
  <c r="N45" i="87" s="1"/>
  <c r="G21" i="84" s="1"/>
  <c r="I176" i="87"/>
  <c r="N33" i="87" s="1"/>
  <c r="I182" i="87"/>
  <c r="N34" i="87" s="1"/>
  <c r="I8" i="87"/>
  <c r="I290" i="87"/>
  <c r="N52" i="87" s="1"/>
  <c r="I224" i="87"/>
  <c r="N41" i="87" s="1"/>
  <c r="G52" i="110"/>
  <c r="G73" i="110"/>
  <c r="E32" i="104" l="1"/>
  <c r="G66" i="84"/>
  <c r="E26" i="75" s="1"/>
  <c r="G83" i="110" l="1"/>
  <c r="N21" i="104"/>
  <c r="G45" i="110"/>
  <c r="E43" i="104"/>
  <c r="G70" i="110"/>
  <c r="E30" i="104"/>
  <c r="N19" i="104" s="1"/>
  <c r="I30" i="67"/>
  <c r="G71" i="110" l="1"/>
  <c r="G51" i="110"/>
  <c r="C2" i="67"/>
  <c r="C51" i="67" l="1"/>
  <c r="C43" i="67"/>
  <c r="I23" i="67" s="1"/>
  <c r="C35" i="67"/>
  <c r="C58" i="67"/>
  <c r="C50" i="67"/>
  <c r="C42" i="67"/>
  <c r="C34" i="67"/>
  <c r="C28" i="67"/>
  <c r="I14" i="67" s="1"/>
  <c r="C24" i="67"/>
  <c r="I13" i="67" s="1"/>
  <c r="C20" i="67"/>
  <c r="C16" i="67"/>
  <c r="C12" i="67"/>
  <c r="C8" i="67"/>
  <c r="C4" i="67"/>
  <c r="C57" i="67"/>
  <c r="C49" i="67"/>
  <c r="C41" i="67"/>
  <c r="C33" i="67"/>
  <c r="I21" i="67" s="1"/>
  <c r="C56" i="67"/>
  <c r="C48" i="67"/>
  <c r="C40" i="67"/>
  <c r="C32" i="67"/>
  <c r="I19" i="67" s="1"/>
  <c r="C27" i="67"/>
  <c r="C23" i="67"/>
  <c r="C19" i="67"/>
  <c r="I11" i="67" s="1"/>
  <c r="C15" i="67"/>
  <c r="C11" i="67"/>
  <c r="I12" i="67" s="1"/>
  <c r="C7" i="67"/>
  <c r="I6" i="67" s="1"/>
  <c r="C3" i="67"/>
  <c r="I3" i="67" s="1"/>
  <c r="C54" i="67"/>
  <c r="I25" i="67" s="1"/>
  <c r="C46" i="67"/>
  <c r="C38" i="67"/>
  <c r="I20" i="67" s="1"/>
  <c r="C26" i="67"/>
  <c r="I15" i="67" s="1"/>
  <c r="C22" i="67"/>
  <c r="C18" i="67"/>
  <c r="C14" i="67"/>
  <c r="I26" i="67" s="1"/>
  <c r="C10" i="67"/>
  <c r="C6" i="67"/>
  <c r="I5" i="67" s="1"/>
  <c r="C52" i="67"/>
  <c r="C44" i="67"/>
  <c r="C36" i="67"/>
  <c r="C29" i="67"/>
  <c r="I16" i="67" s="1"/>
  <c r="C25" i="67"/>
  <c r="I17" i="67" s="1"/>
  <c r="C21" i="67"/>
  <c r="C17" i="67"/>
  <c r="I10" i="67" s="1"/>
  <c r="C13" i="67"/>
  <c r="C9" i="67"/>
  <c r="I8" i="67" s="1"/>
  <c r="C5" i="67"/>
  <c r="I4" i="67" s="1"/>
  <c r="C55" i="67"/>
  <c r="C30" i="67"/>
  <c r="I18" i="67" s="1"/>
  <c r="C53" i="67"/>
  <c r="I24" i="67" s="1"/>
  <c r="C45" i="67"/>
  <c r="C39" i="67"/>
  <c r="C47" i="67"/>
  <c r="C37" i="67"/>
  <c r="C31" i="67"/>
  <c r="I22" i="67" l="1"/>
  <c r="I28" i="67"/>
  <c r="I7" i="67"/>
  <c r="I9" i="67"/>
  <c r="I27" i="67"/>
  <c r="G100" i="110" l="1"/>
  <c r="M14" i="107"/>
  <c r="D229" i="102" l="1"/>
  <c r="E229" i="102" l="1"/>
  <c r="D227" i="102"/>
  <c r="E231" i="102" l="1"/>
  <c r="E232" i="102"/>
  <c r="E230" i="102"/>
  <c r="E233" i="102"/>
  <c r="E228" i="102"/>
  <c r="E12" i="104"/>
  <c r="G12" i="104" l="1"/>
  <c r="H12" i="104" s="1"/>
  <c r="G55" i="110"/>
  <c r="G105" i="110"/>
  <c r="E227" i="102"/>
  <c r="E102" i="81"/>
  <c r="R11" i="104" l="1"/>
  <c r="E10" i="104"/>
  <c r="G10" i="104" s="1"/>
  <c r="D7" i="104"/>
  <c r="G64" i="110"/>
  <c r="E35" i="75"/>
  <c r="E28" i="104"/>
  <c r="N17" i="104" s="1"/>
  <c r="M31" i="104" l="1"/>
  <c r="E13" i="75"/>
  <c r="G49" i="110"/>
  <c r="D23" i="104"/>
  <c r="G65" i="110"/>
  <c r="F34" i="75"/>
  <c r="F20" i="75"/>
  <c r="F32" i="75"/>
  <c r="E15" i="75"/>
  <c r="E16" i="75" s="1"/>
  <c r="F26" i="75"/>
  <c r="F25" i="75"/>
  <c r="F22" i="75"/>
  <c r="F27" i="75"/>
  <c r="F28" i="75"/>
  <c r="F23" i="75"/>
  <c r="F30" i="75"/>
  <c r="F24" i="75"/>
  <c r="F21" i="75"/>
  <c r="M33" i="104" l="1"/>
  <c r="E39" i="104"/>
  <c r="E6" i="104"/>
  <c r="F35" i="75"/>
  <c r="F38" i="104" l="1"/>
  <c r="F36" i="104"/>
  <c r="F34" i="104"/>
  <c r="F25" i="104"/>
  <c r="F26" i="104"/>
  <c r="F27" i="104"/>
  <c r="F28" i="104"/>
  <c r="F29" i="104"/>
  <c r="F30" i="104"/>
  <c r="F31" i="104"/>
  <c r="F32" i="104"/>
  <c r="F24" i="104"/>
  <c r="F11" i="104"/>
  <c r="F7" i="104"/>
  <c r="I33" i="104" s="1"/>
  <c r="F20" i="104"/>
  <c r="I34" i="104" s="1"/>
  <c r="F12" i="104"/>
  <c r="F23" i="104"/>
  <c r="I35" i="104" s="1"/>
  <c r="F10" i="104"/>
  <c r="F8" i="104"/>
  <c r="F22" i="104"/>
  <c r="F9" i="104"/>
  <c r="F21" i="104"/>
  <c r="F6" i="10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Chelsea Tomek</author>
  </authors>
  <commentList>
    <comment ref="B100" authorId="0" shapeId="0" xr:uid="{141AFA46-6270-407E-89E4-50EA89AD528B}">
      <text>
        <r>
          <rPr>
            <b/>
            <sz val="9"/>
            <color indexed="81"/>
            <rFont val="Tahoma"/>
            <family val="2"/>
          </rPr>
          <t>Chelsea Tomek:</t>
        </r>
        <r>
          <rPr>
            <sz val="9"/>
            <color indexed="81"/>
            <rFont val="Tahoma"/>
            <family val="2"/>
          </rPr>
          <t xml:space="preserve">
Total mLs submitted into 1mL row in app
</t>
        </r>
      </text>
    </comment>
    <comment ref="C100" authorId="0" shapeId="0" xr:uid="{6AC10B2E-FBBD-4F5A-9220-C613F306DCC0}">
      <text>
        <r>
          <rPr>
            <b/>
            <sz val="9"/>
            <color indexed="81"/>
            <rFont val="Tahoma"/>
            <family val="2"/>
          </rPr>
          <t>Chelsea Tomek:</t>
        </r>
        <r>
          <rPr>
            <sz val="9"/>
            <color indexed="81"/>
            <rFont val="Tahoma"/>
            <family val="2"/>
          </rPr>
          <t xml:space="preserve">
Total mLs submitted into 1mL row in app
</t>
        </r>
      </text>
    </comment>
    <comment ref="D100" authorId="0" shapeId="0" xr:uid="{D5490D4B-4A1F-4389-A8D9-727E0D17BBFB}">
      <text>
        <r>
          <rPr>
            <b/>
            <sz val="9"/>
            <color indexed="81"/>
            <rFont val="Tahoma"/>
            <family val="2"/>
          </rPr>
          <t>Chelsea Tomek:</t>
        </r>
        <r>
          <rPr>
            <sz val="9"/>
            <color indexed="81"/>
            <rFont val="Tahoma"/>
            <family val="2"/>
          </rPr>
          <t xml:space="preserve">
Total mLs submitted into 1mL row in app
</t>
        </r>
      </text>
    </comment>
    <comment ref="B102" authorId="0" shapeId="0" xr:uid="{A679C91C-9BEE-409C-BC59-923294A4166B}">
      <text>
        <r>
          <rPr>
            <b/>
            <sz val="9"/>
            <color indexed="81"/>
            <rFont val="Tahoma"/>
            <family val="2"/>
          </rPr>
          <t>Chelsea Tomek:</t>
        </r>
        <r>
          <rPr>
            <sz val="9"/>
            <color indexed="81"/>
            <rFont val="Tahoma"/>
            <family val="2"/>
          </rPr>
          <t xml:space="preserve">
Added lbs of N2O + lbs of N2O/O2</t>
        </r>
      </text>
    </comment>
    <comment ref="C102" authorId="0" shapeId="0" xr:uid="{93C0CC9B-F007-4318-B50B-E4E7582914DD}">
      <text>
        <r>
          <rPr>
            <b/>
            <sz val="9"/>
            <color indexed="81"/>
            <rFont val="Tahoma"/>
            <family val="2"/>
          </rPr>
          <t>Chelsea Tomek:</t>
        </r>
        <r>
          <rPr>
            <sz val="9"/>
            <color indexed="81"/>
            <rFont val="Tahoma"/>
            <family val="2"/>
          </rPr>
          <t xml:space="preserve">
Added lbs of N2O + lbs of N2O/O2</t>
        </r>
      </text>
    </comment>
    <comment ref="D102" authorId="0" shapeId="0" xr:uid="{759CC006-D6E7-4260-810E-B601BD5FBE72}">
      <text>
        <r>
          <rPr>
            <b/>
            <sz val="9"/>
            <color indexed="81"/>
            <rFont val="Tahoma"/>
            <family val="2"/>
          </rPr>
          <t>Chelsea Tomek:</t>
        </r>
        <r>
          <rPr>
            <sz val="9"/>
            <color indexed="81"/>
            <rFont val="Tahoma"/>
            <family val="2"/>
          </rPr>
          <t xml:space="preserve">
Added lbs of N2O + lbs of N2O/O2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SOLOMON Brian (ENGIE Impact)</author>
  </authors>
  <commentList>
    <comment ref="E12" authorId="0" shapeId="0" xr:uid="{927C24DE-4043-4BCD-9F59-82547F918B96}">
      <text>
        <r>
          <rPr>
            <i/>
            <sz val="9"/>
            <color indexed="81"/>
            <rFont val="Tahoma"/>
            <family val="2"/>
          </rPr>
          <t xml:space="preserve">
Results from Scope 1 &amp; 2 inventory will auto-populate here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D10" authorId="0" shapeId="0" xr:uid="{3DA91C77-7B6F-427A-A6E6-CC79FF374859}">
      <text>
        <r>
          <rPr>
            <b/>
            <sz val="8"/>
            <rFont val="Tahoma"/>
            <family val="2"/>
          </rPr>
          <t>Standard natural gas received through the gas mains grid network in the UK. Note - contains limited biogas content</t>
        </r>
      </text>
    </comment>
    <comment ref="D11" authorId="0" shapeId="0" xr:uid="{4F7684F0-4E36-4CDB-BFE3-9C0F3501C3DD}">
      <text>
        <r>
          <rPr>
            <b/>
            <sz val="8"/>
            <rFont val="Tahoma"/>
            <family val="2"/>
          </rPr>
          <t>Liquid petroleum gas - used to power cooking stoves or heaters off grid and fuel some vehicles (such as, fork-lift trucks/vans).</t>
        </r>
      </text>
    </comment>
    <comment ref="D13" authorId="0" shapeId="0" xr:uid="{13C93143-4985-4707-81F1-566D2BC3E1A5}">
      <text>
        <r>
          <rPr>
            <b/>
            <sz val="8"/>
            <rFont val="Tahoma"/>
            <family val="2"/>
          </rPr>
          <t>Standard petrol bought from any local filling station (across the board forecourt fuel typically contains biofuel content).</t>
        </r>
      </text>
    </comment>
    <comment ref="D14" authorId="0" shapeId="0" xr:uid="{098ED745-DED4-43A6-B5A9-ED32D5F8D13B}">
      <text>
        <r>
          <rPr>
            <b/>
            <sz val="8"/>
            <rFont val="Tahoma"/>
            <family val="2"/>
          </rPr>
          <t>Heavy oil used as fuel in furnaces and boilers of power stations, industry, industrial heating and in ships.</t>
        </r>
      </text>
    </comment>
    <comment ref="D15" authorId="0" shapeId="0" xr:uid="{F4D4EB7E-D399-4FDD-A11C-DC47389C7544}">
      <text>
        <r>
          <rPr>
            <b/>
            <sz val="8"/>
            <rFont val="Tahoma"/>
            <family val="2"/>
          </rPr>
          <t>Main purpose is for heating/lighting on a domestic scale (also known as kerosene).</t>
        </r>
      </text>
    </comment>
    <comment ref="D23" authorId="0" shapeId="0" xr:uid="{4A62C79E-CA94-45B9-9E9C-C3B484A47466}">
      <text>
        <r>
          <rPr>
            <b/>
            <sz val="8"/>
            <rFont val="Tahoma"/>
            <family val="2"/>
          </rPr>
          <t>Fuel for piston-engined aircraft - a high octane petrol (also known as AVGAS).</t>
        </r>
      </text>
    </comment>
    <comment ref="D24" authorId="0" shapeId="0" xr:uid="{EAC947DA-0D08-4765-B73A-7B5C942A7E34}">
      <text>
        <r>
          <rPr>
            <b/>
            <sz val="8"/>
            <rFont val="Tahoma"/>
            <family val="2"/>
          </rPr>
          <t>Fuel for turbo-prop aircraft and jets (also known as jet fuel). Similar to kerosene used as a heating fuel, but refined to a higher quality.</t>
        </r>
      </text>
    </comment>
    <comment ref="D25" authorId="0" shapeId="0" xr:uid="{C35CD840-BB3A-4A5F-B5AD-3D0029B9E18B}">
      <text>
        <r>
          <rPr>
            <b/>
            <sz val="8"/>
            <rFont val="Tahoma"/>
            <family val="2"/>
          </rPr>
          <t>Compressed natural gas - a compressed version of the same natural gas you receive in the home.  Stored in cylinders for use as an alternative transport fuel.</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Bramwell, Rebekah</author>
  </authors>
  <commentList>
    <comment ref="K7" authorId="0" shapeId="0" xr:uid="{5F2FFF25-3090-4EE1-A2F9-C9A023EE48F6}">
      <text>
        <r>
          <rPr>
            <b/>
            <sz val="8"/>
            <rFont val="Tahoma"/>
            <family val="2"/>
          </rPr>
          <t>Standard natural gas received through the gas mains grid network in the UK. Note - contains limited biogas content.</t>
        </r>
      </text>
    </comment>
    <comment ref="K11" authorId="1" shapeId="0" xr:uid="{40E95A6A-4E1E-48D6-A8E7-761B1BEB7559}">
      <text>
        <r>
          <rPr>
            <b/>
            <sz val="9"/>
            <color indexed="81"/>
            <rFont val="Tahoma"/>
            <family val="2"/>
          </rPr>
          <t>Natural gas (100% mineral blend) factor is natural gas not obtained through the grid and therefore does not contain any biogas content. It can be used for calculating bespoke fuel mixtures.</t>
        </r>
      </text>
    </comment>
    <comment ref="K21" authorId="0" shapeId="0" xr:uid="{81907C00-14B2-44C1-8D92-C8B1E35B38EA}">
      <text>
        <r>
          <rPr>
            <b/>
            <sz val="8"/>
            <rFont val="Tahoma"/>
            <family val="2"/>
          </rPr>
          <t>Standard natural gas received through the gas mains grid network in the UK. Note - contains limited biogas content</t>
        </r>
      </text>
    </comment>
    <comment ref="K25" authorId="1" shapeId="0" xr:uid="{6A393DB3-E63C-4682-99FD-36B8CCF3A246}">
      <text>
        <r>
          <rPr>
            <b/>
            <sz val="9"/>
            <color indexed="81"/>
            <rFont val="Tahoma"/>
            <family val="2"/>
          </rPr>
          <t>Natural gas (100% mineral blend) factor is natural gas not obtained through the grid and therefore does not contain any biogas content. It can be used for calculating bespoke fuel mixtures.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Karagianni, Eirini</author>
    <author>Jones, Luke</author>
  </authors>
  <commentList>
    <comment ref="B30" authorId="0" shapeId="0" xr:uid="{E15908DA-5B0C-4DD0-B549-B1D22F66CDFF}">
      <text>
        <r>
          <rPr>
            <b/>
            <sz val="9"/>
            <color indexed="81"/>
            <rFont val="Tahoma"/>
            <family val="2"/>
          </rPr>
          <t>Standard natural gas received through the gas mains grid network in the UK. Note - contains limited biogas content.</t>
        </r>
      </text>
    </comment>
    <comment ref="B31" authorId="1" shapeId="0" xr:uid="{87969E4F-3070-41A4-8409-E07FE8A4427C}">
      <text>
        <r>
          <rPr>
            <sz val="9"/>
            <color indexed="81"/>
            <rFont val="Tahoma"/>
            <family val="2"/>
          </rPr>
          <t>Standard natural gas received through the gas mains grid network in the UK. Note - contains limited biogas content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tc={07AD35A5-A19F-4BBD-98D4-49C564150536}</author>
  </authors>
  <commentList>
    <comment ref="C1" authorId="0" shapeId="0" xr:uid="{07AD35A5-A19F-4BBD-98D4-49C564150536}">
      <text>
        <t>[Threaded comment]
Your version of Excel allows you to read this threaded comment; however, any edits to it will get removed if the file is opened in a newer version of Excel. Learn more: https://go.microsoft.com/fwlink/?linkid=870924
Comment:
    @BOTTOMLEY J (ENGIE Impact) for Cat 1 and 2, we reference cell F9 in the ‘Reporting Year &amp; Inflation Adj.’ tab. How is the inflation adjustment factor being incorporated for Cat 15?</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<sst xmlns="http://schemas.openxmlformats.org/spreadsheetml/2006/main" count="13203" uniqueCount="4414">
  <si>
    <t>Unit</t>
  </si>
  <si>
    <t>Year</t>
  </si>
  <si>
    <t>Construction</t>
  </si>
  <si>
    <t>Emission Factor</t>
  </si>
  <si>
    <t>Country</t>
  </si>
  <si>
    <t>Georgia</t>
  </si>
  <si>
    <t>Scope 1</t>
  </si>
  <si>
    <t>Scope 2</t>
  </si>
  <si>
    <t>Total</t>
  </si>
  <si>
    <t>Bus</t>
  </si>
  <si>
    <t>Natural gas</t>
  </si>
  <si>
    <t>therms</t>
  </si>
  <si>
    <t>kg</t>
  </si>
  <si>
    <t>lb</t>
  </si>
  <si>
    <t>US gallon</t>
  </si>
  <si>
    <t>Therm</t>
  </si>
  <si>
    <t>Diesel</t>
  </si>
  <si>
    <t>Gasoline</t>
  </si>
  <si>
    <t>Biodiesel</t>
  </si>
  <si>
    <t>Coal</t>
  </si>
  <si>
    <t>Plastics</t>
  </si>
  <si>
    <t>Air transport</t>
  </si>
  <si>
    <t>Telecommunications</t>
  </si>
  <si>
    <t>Scientific research and development</t>
  </si>
  <si>
    <t>GWP</t>
  </si>
  <si>
    <t>SAR</t>
  </si>
  <si>
    <t>References</t>
  </si>
  <si>
    <t>ID</t>
  </si>
  <si>
    <t>CO2</t>
  </si>
  <si>
    <t>Notes</t>
  </si>
  <si>
    <t>Wood</t>
  </si>
  <si>
    <t>Landfill</t>
  </si>
  <si>
    <t>Transport</t>
  </si>
  <si>
    <t>Type</t>
  </si>
  <si>
    <t>HFC-134a</t>
  </si>
  <si>
    <t>ROW</t>
  </si>
  <si>
    <t>Motorbike</t>
  </si>
  <si>
    <t>HFC-227ea</t>
  </si>
  <si>
    <t>Short</t>
  </si>
  <si>
    <t>Medium</t>
  </si>
  <si>
    <t>Long</t>
  </si>
  <si>
    <t>Propane</t>
  </si>
  <si>
    <t>Chile</t>
  </si>
  <si>
    <t>China</t>
  </si>
  <si>
    <t>Colombia</t>
  </si>
  <si>
    <t>Costa Rica</t>
  </si>
  <si>
    <t>Egypt</t>
  </si>
  <si>
    <t>France</t>
  </si>
  <si>
    <t>Germany</t>
  </si>
  <si>
    <t>India</t>
  </si>
  <si>
    <t>Indonesia</t>
  </si>
  <si>
    <t>Italy</t>
  </si>
  <si>
    <t>Japan</t>
  </si>
  <si>
    <t>Jordan</t>
  </si>
  <si>
    <t>Malaysia</t>
  </si>
  <si>
    <t>Maldives</t>
  </si>
  <si>
    <t>Mexico</t>
  </si>
  <si>
    <t>Netherlands</t>
  </si>
  <si>
    <t>Oman</t>
  </si>
  <si>
    <t>Philippines</t>
  </si>
  <si>
    <t>Portugal</t>
  </si>
  <si>
    <t>Qatar</t>
  </si>
  <si>
    <t>Russian Federation</t>
  </si>
  <si>
    <t>Saudi Arabia</t>
  </si>
  <si>
    <t>Singapore</t>
  </si>
  <si>
    <t>South Africa</t>
  </si>
  <si>
    <t>Spain</t>
  </si>
  <si>
    <t>Switzerland</t>
  </si>
  <si>
    <t>Thailand</t>
  </si>
  <si>
    <t>Turkey</t>
  </si>
  <si>
    <t>United Arab Emirates</t>
  </si>
  <si>
    <t>Vietnam</t>
  </si>
  <si>
    <t>Table 1</t>
  </si>
  <si>
    <t>WIOD</t>
  </si>
  <si>
    <t>WIOD ID</t>
  </si>
  <si>
    <t xml:space="preserve">The high level descriptions of the WIOD Carbon Intensities.  </t>
  </si>
  <si>
    <t xml:space="preserve">The Country that is being used in the mapping followed by the values of the Intensities in Kg of Co2e per $  </t>
  </si>
  <si>
    <t>How WIOD is mapped to the modified EORA 26, showing the EORA IDs</t>
  </si>
  <si>
    <t>EORA ID</t>
  </si>
  <si>
    <t>The high level descriptions of the Modified Eora 26 Carbon Intensities.
Eora 26 was modified for HCWH by removing the last 3 categories "Private Households", "Others" and "Re-export &amp; Re-import" and replacing these with "Drugs", "Medical Devices" and "Medical Consumables".</t>
  </si>
  <si>
    <t>The values of the Intensities in $ per Kg of Co2e</t>
  </si>
  <si>
    <t>How WIOD is mapped to the modified Eora 26, showing the WIOD IDs</t>
  </si>
  <si>
    <t>Notes on the Mapping for WIOD to modified Eora 26
*Where a mapping is based on an average, if the WIOD factor is zero it is ignored and the average is taken of the remaining factors</t>
  </si>
  <si>
    <t>to Eora</t>
  </si>
  <si>
    <t>Modified Eora 26</t>
  </si>
  <si>
    <t>KgCo2e/$</t>
  </si>
  <si>
    <t>Crop and animal production, hunting and related service activities</t>
  </si>
  <si>
    <t>Agriculture</t>
  </si>
  <si>
    <t>Forestry and logging</t>
  </si>
  <si>
    <t>Fishing</t>
  </si>
  <si>
    <t>Fishing and aquaculture</t>
  </si>
  <si>
    <t>Mining and Quarrying</t>
  </si>
  <si>
    <t>Mining and quarrying</t>
  </si>
  <si>
    <t>Food &amp; Beverages</t>
  </si>
  <si>
    <t>Manufacture of food products, beverages and tobacco products</t>
  </si>
  <si>
    <t>Textiles and Wearing Apparel</t>
  </si>
  <si>
    <t>Manufacture of textiles, wearing apparel and leather products</t>
  </si>
  <si>
    <t>5,26</t>
  </si>
  <si>
    <t>Wood and Paper</t>
  </si>
  <si>
    <t>7,8</t>
  </si>
  <si>
    <t>The average of WIOD 7 and 8*</t>
  </si>
  <si>
    <t>Manufacture of wood and of products of wood and cork, except furniture; manufacture of articles of straw and plaiting materials</t>
  </si>
  <si>
    <t>Petroleum, Chemical and Non-Metallic Mineral Products</t>
  </si>
  <si>
    <t>10,11,14</t>
  </si>
  <si>
    <t>The average of WIOD 10, 11 and 14*</t>
  </si>
  <si>
    <t>Manufacture of paper and paper products</t>
  </si>
  <si>
    <t>Metal Products</t>
  </si>
  <si>
    <t>15,16</t>
  </si>
  <si>
    <t>The average of WIOD 15 and 16*</t>
  </si>
  <si>
    <t>Printing and reproduction of recorded media</t>
  </si>
  <si>
    <t>Electrical and Machinery</t>
  </si>
  <si>
    <t>17,18,19</t>
  </si>
  <si>
    <t>The average of WIOD 17, 18 and 19*</t>
  </si>
  <si>
    <t xml:space="preserve">Manufacture of coke and refined petroleum products </t>
  </si>
  <si>
    <t>Transport Equipment</t>
  </si>
  <si>
    <t>20,21</t>
  </si>
  <si>
    <t>The average of WIOD 20 and 21*</t>
  </si>
  <si>
    <t xml:space="preserve">Manufacture of chemicals and chemical products </t>
  </si>
  <si>
    <t>Other Manufacturing</t>
  </si>
  <si>
    <t>Manufacture of basic pharmaceutical products and pharmaceutical preparations</t>
  </si>
  <si>
    <t>Waste, Recycling, treatment</t>
  </si>
  <si>
    <t>Manufacture of rubber and plastic products</t>
  </si>
  <si>
    <t>25,26</t>
  </si>
  <si>
    <t>Electricity, Gas and Water</t>
  </si>
  <si>
    <t>24,25</t>
  </si>
  <si>
    <t>Only used Electricity Value (24) Since very different to water</t>
  </si>
  <si>
    <t>Manufacture of other non-metallic mineral products</t>
  </si>
  <si>
    <t>Manufacture of basic metals</t>
  </si>
  <si>
    <t>Maintenance and Repair</t>
  </si>
  <si>
    <t>Manufacture of fabricated metal products, except machinery and equipment</t>
  </si>
  <si>
    <t>8,26</t>
  </si>
  <si>
    <t>Wholesale Trade</t>
  </si>
  <si>
    <t>28,29</t>
  </si>
  <si>
    <t>The average of WIOD 28 and 29*</t>
  </si>
  <si>
    <t>Manufacture of computer, electronic and optical products</t>
  </si>
  <si>
    <t>Retail Trade</t>
  </si>
  <si>
    <t>Manufacture of electrical equipment</t>
  </si>
  <si>
    <t>Hotels and Restraurants</t>
  </si>
  <si>
    <t>Manufacture of machinery and equipment n.e.c.</t>
  </si>
  <si>
    <t>31,32,33</t>
  </si>
  <si>
    <t>The average of WIOD 31, 32 and 33*</t>
  </si>
  <si>
    <t>Manufacture of motor vehicles, trailers and semi-trailers</t>
  </si>
  <si>
    <t>Post and Telecommunications</t>
  </si>
  <si>
    <t>35,39</t>
  </si>
  <si>
    <t>The average of WIOD 35 and 39*</t>
  </si>
  <si>
    <t>Manufacture of other transport equipment</t>
  </si>
  <si>
    <t>Financial Intermediation and Business Activities</t>
  </si>
  <si>
    <t>41,42,43</t>
  </si>
  <si>
    <t>The average of WIOD 41, 42 and 43*</t>
  </si>
  <si>
    <t>Manufacture of furniture; other manufacturing</t>
  </si>
  <si>
    <t>Public Administration</t>
  </si>
  <si>
    <t>Repair and installation of machinery and equipment</t>
  </si>
  <si>
    <t>Education, Health and Other Services</t>
  </si>
  <si>
    <t>52,53,54</t>
  </si>
  <si>
    <t>The average of WIOD 52, 53 and 54*</t>
  </si>
  <si>
    <t>Electricity, gas, steam and air conditioning supply</t>
  </si>
  <si>
    <t>Drugs</t>
  </si>
  <si>
    <t>If zero use ROW figure</t>
  </si>
  <si>
    <t>Water collection, treatment and supply</t>
  </si>
  <si>
    <t>Medical Devices</t>
  </si>
  <si>
    <t>13,17,20</t>
  </si>
  <si>
    <t>The average of WIOD 13, 17 and 20*</t>
  </si>
  <si>
    <t xml:space="preserve">Sewerage; waste collection, treatment and disposal activities; materials recovery; remediation activities and other waste management services </t>
  </si>
  <si>
    <t>Medical Consumables</t>
  </si>
  <si>
    <t>6,13,16</t>
  </si>
  <si>
    <t>The average of WIOD 6, 13 and 16*</t>
  </si>
  <si>
    <t>Wholesale and retail trade and repair of motor vehicles and motorcycles</t>
  </si>
  <si>
    <t>Rest of world figure for drugs used for any country that does not have a drugs WIOD figure</t>
  </si>
  <si>
    <t>Wholesale trade, except of motor vehicles and motorcycles</t>
  </si>
  <si>
    <t>Retail trade, except of motor vehicles and motorcycles</t>
  </si>
  <si>
    <t>Land transport and transport via pipelines</t>
  </si>
  <si>
    <t>Water transport</t>
  </si>
  <si>
    <t>Warehousing and support activities for transportation</t>
  </si>
  <si>
    <t>Postal and courier activities</t>
  </si>
  <si>
    <t>Accommodation and food service activities</t>
  </si>
  <si>
    <t>Publishing activities</t>
  </si>
  <si>
    <t>Motion picture, video and television programme production, sound recording and music publishing activities; programming and broadcasting activities</t>
  </si>
  <si>
    <t>Computer programming, consultancy and related activities; information service activities</t>
  </si>
  <si>
    <t>Financial service activities, except insurance and pension funding</t>
  </si>
  <si>
    <t>Insurance, reinsurance and pension funding, except compulsory social security</t>
  </si>
  <si>
    <t>Activities auxiliary to financial services and insurance activities</t>
  </si>
  <si>
    <t>Real estate activities</t>
  </si>
  <si>
    <t>Legal and accounting activities; activities of head offices; management consultancy activities</t>
  </si>
  <si>
    <t>Architectural and engineering activities; technical testing and analysis</t>
  </si>
  <si>
    <t>Advertising and market research</t>
  </si>
  <si>
    <t>Other professional, scientific and technical activities; veterinary activities</t>
  </si>
  <si>
    <t>Administrative and support service activities</t>
  </si>
  <si>
    <t>Public administration and defence; compulsory social security</t>
  </si>
  <si>
    <t>Education</t>
  </si>
  <si>
    <t>Human health and social work activities</t>
  </si>
  <si>
    <t>Other service activities</t>
  </si>
  <si>
    <t>Activities of households as employers; undifferentiated goods- and services-producing activities of households for own use</t>
  </si>
  <si>
    <t>Activities of extraterritorial organizations and bodies</t>
  </si>
  <si>
    <t>Category 3: Fuel and Energy related activities</t>
  </si>
  <si>
    <t>IEA T&amp;D losses</t>
  </si>
  <si>
    <t>Source</t>
  </si>
  <si>
    <t>Regionality Type</t>
  </si>
  <si>
    <t>Regionality Name</t>
  </si>
  <si>
    <t>Source UOM</t>
  </si>
  <si>
    <t>Emission UOM</t>
  </si>
  <si>
    <t>Version</t>
  </si>
  <si>
    <t>For Category 5: Waste</t>
  </si>
  <si>
    <t>For Category 6: Business Travel</t>
  </si>
  <si>
    <t>Electric Power</t>
  </si>
  <si>
    <t>United States</t>
  </si>
  <si>
    <t>MWh</t>
  </si>
  <si>
    <t>International Energy Agency (IEA)</t>
  </si>
  <si>
    <r>
      <t>Metric Tons CO</t>
    </r>
    <r>
      <rPr>
        <b/>
        <vertAlign val="subscript"/>
        <sz val="10"/>
        <rFont val="Arial"/>
        <family val="2"/>
      </rPr>
      <t>2</t>
    </r>
    <r>
      <rPr>
        <b/>
        <sz val="10"/>
        <rFont val="Arial"/>
        <family val="2"/>
      </rPr>
      <t>e / Short Ton Material</t>
    </r>
  </si>
  <si>
    <t>EF</t>
  </si>
  <si>
    <t>UoM</t>
  </si>
  <si>
    <t>Material</t>
  </si>
  <si>
    <t>Recycled</t>
  </si>
  <si>
    <t>Landfilled</t>
  </si>
  <si>
    <t>Combusted (incineration)</t>
  </si>
  <si>
    <t>Composted</t>
  </si>
  <si>
    <t>Glass</t>
  </si>
  <si>
    <t>NA</t>
  </si>
  <si>
    <t>Mixed_Paper</t>
  </si>
  <si>
    <t>Australia</t>
  </si>
  <si>
    <t xml:space="preserve">Fuel Upstream Emission Factors </t>
  </si>
  <si>
    <t>Mixed_Metals</t>
  </si>
  <si>
    <t>Belgium</t>
  </si>
  <si>
    <t>Mixed_Plastics</t>
  </si>
  <si>
    <t>Brazil</t>
  </si>
  <si>
    <t>Raw Values</t>
  </si>
  <si>
    <t>Converted Values</t>
  </si>
  <si>
    <t>Mixed_Recyclables</t>
  </si>
  <si>
    <t>Canada</t>
  </si>
  <si>
    <t>Fuel Type</t>
  </si>
  <si>
    <t>Fuel</t>
  </si>
  <si>
    <t>Unit1</t>
  </si>
  <si>
    <t>kg CO2e (1)</t>
  </si>
  <si>
    <t>Fuel (ENGIE)</t>
  </si>
  <si>
    <t>Unit2</t>
  </si>
  <si>
    <t>kg CO2e (2)</t>
  </si>
  <si>
    <t>Mixed_Organics</t>
  </si>
  <si>
    <t>Gaseous fuel</t>
  </si>
  <si>
    <t>kWh (Gross CV)</t>
  </si>
  <si>
    <t>Mixed_MSW</t>
  </si>
  <si>
    <t>Liquid fuel</t>
  </si>
  <si>
    <t>Aviation spirit</t>
  </si>
  <si>
    <t>litres</t>
  </si>
  <si>
    <t>Aviation gasoline</t>
  </si>
  <si>
    <t>Aviation turbine fuel</t>
  </si>
  <si>
    <t>Jet fuel</t>
  </si>
  <si>
    <t>Diesel (100% mineral diesel)</t>
  </si>
  <si>
    <t>Fuel oil</t>
  </si>
  <si>
    <t>LPG</t>
  </si>
  <si>
    <t>Activity</t>
  </si>
  <si>
    <r>
      <t>kg CO</t>
    </r>
    <r>
      <rPr>
        <vertAlign val="subscript"/>
        <sz val="11"/>
        <color indexed="56"/>
        <rFont val="Calibri"/>
        <family val="2"/>
      </rPr>
      <t>2</t>
    </r>
    <r>
      <rPr>
        <sz val="11"/>
        <color indexed="56"/>
        <rFont val="Calibri"/>
        <family val="2"/>
      </rPr>
      <t>e</t>
    </r>
  </si>
  <si>
    <t>Hong Kong, China</t>
  </si>
  <si>
    <t>Diesel (average biofuel blend)</t>
  </si>
  <si>
    <t>Water supply</t>
  </si>
  <si>
    <t>cubic metres</t>
  </si>
  <si>
    <t>CNG</t>
  </si>
  <si>
    <t>million litres</t>
  </si>
  <si>
    <r>
      <t xml:space="preserve">IEA </t>
    </r>
    <r>
      <rPr>
        <b/>
        <sz val="11"/>
        <color theme="1"/>
        <rFont val="Arial"/>
        <family val="2"/>
        <scheme val="minor"/>
      </rPr>
      <t xml:space="preserve">Fuel cycle </t>
    </r>
    <r>
      <rPr>
        <sz val="11"/>
        <color theme="1"/>
        <rFont val="Arial"/>
        <family val="2"/>
        <scheme val="minor"/>
      </rPr>
      <t xml:space="preserve">upstream emission factor for electricity </t>
    </r>
    <r>
      <rPr>
        <b/>
        <sz val="11"/>
        <color theme="1"/>
        <rFont val="Arial"/>
        <family val="2"/>
        <scheme val="minor"/>
      </rPr>
      <t>generation</t>
    </r>
  </si>
  <si>
    <t>Water treatment</t>
  </si>
  <si>
    <t>Category</t>
  </si>
  <si>
    <t>EF (upstream)</t>
  </si>
  <si>
    <t>kg CO2e/kWh</t>
  </si>
  <si>
    <t>Korea</t>
  </si>
  <si>
    <t>IEA T&amp;D loss factor calculation</t>
  </si>
  <si>
    <t>Combustion factor</t>
  </si>
  <si>
    <t>T&amp;D adjustment factor</t>
  </si>
  <si>
    <t>Loss factor</t>
  </si>
  <si>
    <t>Concatenation</t>
  </si>
  <si>
    <t>Lookups</t>
  </si>
  <si>
    <t>Average local bus</t>
  </si>
  <si>
    <t>Coach</t>
  </si>
  <si>
    <t>Cars_by_market_segment</t>
  </si>
  <si>
    <t>Local bus (not London)</t>
  </si>
  <si>
    <t>Local London bus</t>
  </si>
  <si>
    <t>Rail</t>
  </si>
  <si>
    <t>Dual purpose 4X4</t>
  </si>
  <si>
    <t>Taxis</t>
  </si>
  <si>
    <t>Unknown</t>
  </si>
  <si>
    <t>Plug-in Hybrid Electric Vehicle</t>
  </si>
  <si>
    <t>Battery Electric Vehicle</t>
  </si>
  <si>
    <t>Executive</t>
  </si>
  <si>
    <t>Lower medium</t>
  </si>
  <si>
    <t>Luxury</t>
  </si>
  <si>
    <t>Market_fuel_types</t>
  </si>
  <si>
    <t>Sports</t>
  </si>
  <si>
    <t>MPV</t>
  </si>
  <si>
    <t>Upper medium</t>
  </si>
  <si>
    <t>Supermini</t>
  </si>
  <si>
    <t>Mini</t>
  </si>
  <si>
    <t>Average</t>
  </si>
  <si>
    <t>Large</t>
  </si>
  <si>
    <t>Small</t>
  </si>
  <si>
    <t>International rail</t>
  </si>
  <si>
    <t>Light rail and tram</t>
  </si>
  <si>
    <t>London Underground</t>
  </si>
  <si>
    <t>National rail</t>
  </si>
  <si>
    <t>Black cab</t>
  </si>
  <si>
    <t>Regular taxi</t>
  </si>
  <si>
    <t>Haul</t>
  </si>
  <si>
    <t>Flights</t>
  </si>
  <si>
    <t>Average passenger</t>
  </si>
  <si>
    <t>Economy class</t>
  </si>
  <si>
    <t>Business class</t>
  </si>
  <si>
    <t>Premium economy class</t>
  </si>
  <si>
    <t>First class</t>
  </si>
  <si>
    <t>Calculation Guidance:</t>
  </si>
  <si>
    <t>Use Excel slicers in columns A and B to locate spend-based categories of interest, then enter annual data in GRAY cells (columns D to F) in the below table as follows:</t>
  </si>
  <si>
    <r>
      <rPr>
        <b/>
        <i/>
        <sz val="10"/>
        <rFont val="Arial"/>
        <family val="2"/>
      </rPr>
      <t xml:space="preserve">Item Description (optional) </t>
    </r>
    <r>
      <rPr>
        <sz val="10"/>
        <rFont val="Arial"/>
        <family val="2"/>
      </rPr>
      <t>- this column is available for any user-specific identifier</t>
    </r>
  </si>
  <si>
    <r>
      <rPr>
        <b/>
        <i/>
        <sz val="10"/>
        <rFont val="Arial"/>
        <family val="2"/>
      </rPr>
      <t>Annual procurement spend ($)</t>
    </r>
    <r>
      <rPr>
        <sz val="10"/>
        <rFont val="Arial"/>
        <family val="2"/>
      </rPr>
      <t xml:space="preserve"> - identify the funds allocated to the purchase of items within the selected sector/commodity in the reporting year</t>
    </r>
  </si>
  <si>
    <r>
      <rPr>
        <b/>
        <i/>
        <sz val="10"/>
        <rFont val="Arial"/>
        <family val="2"/>
      </rPr>
      <t xml:space="preserve">Procurement via: Wholesaler /Retailer/ Distributor </t>
    </r>
    <r>
      <rPr>
        <b/>
        <i/>
        <u/>
        <sz val="10"/>
        <color theme="3" tint="-0.499984740745262"/>
        <rFont val="Arial"/>
        <family val="2"/>
      </rPr>
      <t>or</t>
    </r>
    <r>
      <rPr>
        <b/>
        <i/>
        <sz val="10"/>
        <rFont val="Arial"/>
        <family val="2"/>
      </rPr>
      <t xml:space="preserve"> Direct-from-Manufacturer?</t>
    </r>
    <r>
      <rPr>
        <sz val="10"/>
        <rFont val="Arial"/>
        <family val="2"/>
      </rPr>
      <t xml:space="preserve"> - select from drop-down. This will determine which emission factors are applied. Margins of the supply chain are related to transportation/distribution between the direct manufacturer and any wholesaler, retailer, or distributor from which the products are purchased. 'If uncertain, assume wholesaler / retailer / distributer. For services with zero margins, column E is not necessary (note "Not Applicable" for those entries).</t>
    </r>
  </si>
  <si>
    <r>
      <t>Use top slicer primarily for all categories, as the resulting list is manageable to review. For "31-33: Manufacturing", the bottom slicer will be helpful (</t>
    </r>
    <r>
      <rPr>
        <b/>
        <sz val="13.5"/>
        <color theme="7"/>
        <rFont val="Arial"/>
        <family val="2"/>
        <scheme val="minor"/>
      </rPr>
      <t>see tab "using slicers" for additional guidance</t>
    </r>
    <r>
      <rPr>
        <b/>
        <sz val="13.5"/>
        <color rgb="FF0000FF"/>
        <rFont val="Arial"/>
        <family val="2"/>
        <scheme val="minor"/>
      </rPr>
      <t>)</t>
    </r>
  </si>
  <si>
    <t>running total:</t>
  </si>
  <si>
    <t>Values Uncorrected for Inflation</t>
  </si>
  <si>
    <t>*user input</t>
  </si>
  <si>
    <r>
      <t xml:space="preserve">Cradle-to-Factory Gate
</t>
    </r>
    <r>
      <rPr>
        <sz val="11"/>
        <color theme="1"/>
        <rFont val="Arial"/>
        <family val="2"/>
        <scheme val="minor"/>
      </rPr>
      <t>(for purchases direct-from-manufacturer)</t>
    </r>
  </si>
  <si>
    <r>
      <t xml:space="preserve">Cradle-to-Shelf
</t>
    </r>
    <r>
      <rPr>
        <sz val="11"/>
        <color theme="1"/>
        <rFont val="Arial"/>
        <family val="2"/>
        <scheme val="minor"/>
      </rPr>
      <t>(for purchases via wholesaler/ retailer/ distributor)</t>
    </r>
  </si>
  <si>
    <t>SEF</t>
  </si>
  <si>
    <t>MEF</t>
  </si>
  <si>
    <t>SEF+MEF</t>
  </si>
  <si>
    <t>Commodity Name</t>
  </si>
  <si>
    <t>Item Description (optional)</t>
  </si>
  <si>
    <t>Annual procurement
spend ($)</t>
  </si>
  <si>
    <r>
      <t xml:space="preserve">Procurement via: Wholesaler /Retailer/ Distributor </t>
    </r>
    <r>
      <rPr>
        <b/>
        <u/>
        <sz val="14"/>
        <color theme="0"/>
        <rFont val="Arial"/>
        <family val="2"/>
        <scheme val="minor"/>
      </rPr>
      <t>or</t>
    </r>
    <r>
      <rPr>
        <b/>
        <sz val="14"/>
        <color theme="0"/>
        <rFont val="Arial"/>
        <family val="2"/>
        <scheme val="minor"/>
      </rPr>
      <t xml:space="preserve"> Direct-from-Manufacturer?
</t>
    </r>
    <r>
      <rPr>
        <b/>
        <sz val="14"/>
        <color rgb="FFFF0000"/>
        <rFont val="Arial"/>
        <family val="2"/>
        <scheme val="minor"/>
      </rPr>
      <t>Leave Blank if Unknown</t>
    </r>
  </si>
  <si>
    <t>Emissions (MTCO2e)</t>
  </si>
  <si>
    <t>Margin Percent</t>
  </si>
  <si>
    <t>Reference USEEIO Code</t>
  </si>
  <si>
    <t>Commodity Description</t>
  </si>
  <si>
    <t>Sub-category</t>
  </si>
  <si>
    <t>Supply Chain Emission Factors without Margins (kg CO2e/USD)</t>
  </si>
  <si>
    <t>Margins of Supply Chain Emission Factors (kg CO2e/USD)</t>
  </si>
  <si>
    <t>Supply Chain Emission Factors with Margins (kg CO2e/USD)</t>
  </si>
  <si>
    <t>Fresh soybeans, canola, flaxseeds, and other oilseeds</t>
  </si>
  <si>
    <t>1111A0</t>
  </si>
  <si>
    <t>11: Agriculture, Forestry, Fishing and Hunting</t>
  </si>
  <si>
    <t>1111: Oilseed and Grain Farming</t>
  </si>
  <si>
    <t>Fresh wheat, corn, rice, and other grains</t>
  </si>
  <si>
    <t>1111B0</t>
  </si>
  <si>
    <t>Fresh vegetables, melons, and potatoes</t>
  </si>
  <si>
    <t>Vegetable and melon farming. This industry group comprises establishments primarily engaged in growing root and tuber crops (except sugar beets and peanuts) or edible plants and/or producing root and tuber or edible plant seeds. The crops included in this group have an annual growth cycle and are grown in open fields. Climate and cultural practices limit producing areas but often permit the growing of a combination of crops in a year.</t>
  </si>
  <si>
    <t>1112: Vegetable and Melon Farming</t>
  </si>
  <si>
    <t>Fresh fruits and tree nuts</t>
  </si>
  <si>
    <t>Fruit and tree nut farming. This industry group comprises establishments primarily engaged in growing fruit and/or tree nut crops. The crops included in this industry group are generally not grown from seeds and have a perennial life cycle.</t>
  </si>
  <si>
    <t>1113: Fruit and Tree Nut Farming</t>
  </si>
  <si>
    <t>Greenhouse crops, mushrooms, nurseries, and flowers</t>
  </si>
  <si>
    <t>Greenhouse, nursery, and floriculture production'. This industry group comprises establishments primarily engaged in growing crops of any kind under cover and/or growing nursery stock and flowers. "Under cover" is generally defined as greenhouses, cold frames, cloth houses, and lath houses. The crops grown are removed at various stages of maturity and have annual and perennial life cycles. The nursery stock includes short rotation woody crops that have growth cycles of 10 years or less.</t>
  </si>
  <si>
    <t>1114: Greenhouse, Nursery, and Floriculture Production</t>
  </si>
  <si>
    <t>Tobacco, cotton, sugarcane, peanuts, sugar beets, herbs and spices, and other crops</t>
  </si>
  <si>
    <t>Other crop farming'. This industry group comprises establishments primarily engaged in (1) growing crops (except oilseed and/or grain; vegetable and/or melon; fruit and tree nut; and greenhouse, nursery, and/or floriculture products). These establishments grow crops, such as tobacco, cotton, sugarcane, hay, sugar beets, peanuts, agave, herbs and spices, and hay and grass seeds; or (2) growing a combination of crops (except a combination of oilseed(s) and grain(s) and a combination of fruit(s) and tree nut(s)).</t>
  </si>
  <si>
    <t>1119: Other Crop Farming</t>
  </si>
  <si>
    <t>Cattle ranches and feedlots</t>
  </si>
  <si>
    <t>1121A0</t>
  </si>
  <si>
    <t>1121: Cattle Ranching and Farming</t>
  </si>
  <si>
    <t>Dairies</t>
  </si>
  <si>
    <t>Dairy cattle and milk production. This industry comprises establishments primarily engaged in milking dairy cattle.</t>
  </si>
  <si>
    <t>Animal farms and aquaculture ponds (except cattle and poultry)</t>
  </si>
  <si>
    <t>112A00</t>
  </si>
  <si>
    <t>1129: Other Animal Production</t>
  </si>
  <si>
    <t>Poultry farms</t>
  </si>
  <si>
    <t>Poultry and egg production'. This industry group comprises establishments primarily engaged in breeding, hatching, and raising poultry for meat or egg production.</t>
  </si>
  <si>
    <t>1123: Poultry and Egg Production</t>
  </si>
  <si>
    <t>Timber and raw forest products</t>
  </si>
  <si>
    <t>Forestry and logging'. Industries in the Forestry and Logging subsector grow and harvest timber on a long production cycle (i.e., of 10 years or more). Long production cycles use different production processes than short production cycles, which require more horticultural interventions prior to harvest, resulting in processes more similar to those found in the Crop Production subsector. Consequently, Christmas tree production and other production involving production cycles of less than 10 years, are classified in the Crop Production subsector. Industries in this subsector specialize in different stages of the production cycle. Reforestation requires production of seedlings in specialized nurseries. Timber production requires natural forest or suitable areas of land that are available for a long duration. The maturation time for timber depends upon the species of tree, the climatic conditions of the region, and the intended purpose of the timber. The harvesting of timber (except when done on an extremely small scale) requires specialized machinery unique to the industry. Establishments gathering forest products, such as gums, barks, balsam needles, rhizomes, fibers, Spanish moss, and ginseng and truffles, are also included in this subsector.</t>
  </si>
  <si>
    <t>1131: Timber Tract Operations</t>
  </si>
  <si>
    <t>Wild-caught fish and game</t>
  </si>
  <si>
    <t>Fishing, hunting and trapping'. Industries in the Fishing, Hunting, and Trapping subsector harvest fish and other wild animals from their natural habitats and are dependent upon a continued supply of the natural resource. The harvesting of fish is the predominant economic activity of this subsector and it usually requires specialized vessels that, by the nature of their size, configuration and equipment, are not suitable for any other type of production, such as transportation. Hunting and trapping activities utilize a wide variety of production processes and are classified in the same subsector as fishing because the availability of resources and the constraints imposed, such as conservation requirements and proper habitat maintenance, are similar.</t>
  </si>
  <si>
    <t>1141: Fishing</t>
  </si>
  <si>
    <t>Agriculture and forestry support</t>
  </si>
  <si>
    <t>Not Applicable</t>
  </si>
  <si>
    <t>Support activities for agriculture and forestry'. Industries in the Support Activities for Agriculture and Forestry subsector provide support services that are an essential part of agricultural and forestry production. These support activities may be performed by the agriculture or forestry producing establishment or conducted independently as an alternative source of inputs required for the production process for a given crop, animal, or forestry industry. Establishments that primarily perform these activities independent of the agriculture or forestry producing establishment are in this subsector.</t>
  </si>
  <si>
    <t>1151: Support Activities for Crop Production</t>
  </si>
  <si>
    <t>Unrefined oil and gas</t>
  </si>
  <si>
    <t>Oil and gas extraction'. Industries in the Oil and Gas Extraction subsector operate and/or develop oil and gas field properties. Such activities may include exploration for crude petroleum and natural gas; drilling, completing, and equipping wells; operating separators, emulsion breakers, desilting equipment, and field gathering lines for crude petroleum and natural gas; and all other activities in the preparation of oil and gas up to the point of shipment from the producing property. This subsector includes the production of crude petroleum, the mining and extraction of oil from oil shale and oil sands, and the production of natural gas, sulfur recovery from natural gas, and recovery of hydrocarbon liquids. Establishments in this subsector include those that operate oil and gas wells on their own account or for others on a contract or fee basis. Establishments primarily engaged in providing support services, on a fee or contract basis, required for the drilling or operation of oil and gas wells (except geophysical surveying and mapping, mine site preparation, and construction of oil/gas pipelines) are classified in Subsector 213, Support Activities for Mining.</t>
  </si>
  <si>
    <t>21: Mining, Quarrying, and Oil and Gas Extraction</t>
  </si>
  <si>
    <t>2111: Oil and Gas Extraction</t>
  </si>
  <si>
    <t>Coal mining'. This industry comprises establishments primarily engaged in one or more of the following (1) mining bituminous coal, anthracite, and lignite by underground mining, auger mining, strip mining, culm bank mining, and other surface mining; (2) developing coal mine sites; and (3) beneficiating (i.e., preparing) coal (e.g., cleaning, washing, screening, and sizing coal).</t>
  </si>
  <si>
    <t>2121: Coal Mining</t>
  </si>
  <si>
    <t>Iron, gold, silver, and other metal ores</t>
  </si>
  <si>
    <t>2122A0</t>
  </si>
  <si>
    <t>2122: Metal Ore Mining</t>
  </si>
  <si>
    <t>Copper, nickel, lead, and zinc</t>
  </si>
  <si>
    <t>Copper, nickel, lead, and zinc mining'. This industry comprises establishments primarily engaged in developing the mine site, mining, and/or beneficiating (i.e., preparing) ores valued chiefly for their copper, nickel, lead, or zinc content. Beneficiating includes the transformation of ores into concentrates.</t>
  </si>
  <si>
    <t>Dimensional stone</t>
  </si>
  <si>
    <t>Stone mining and quarrying'. This industry comprises (1) establishments primarily engaged in developing the mine site, mining or quarrying dimension stone (i.e., rough blocks and/or slabs of stone), or mining and quarrying crushed and broken stone and/or (2) preparation plants primarily engaged in beneficiating stone (e.g., crushing, grinding, washing, screening, pulverizing, and sizing).</t>
  </si>
  <si>
    <t>2123: Nonmetallic Mineral Mining and Quarrying</t>
  </si>
  <si>
    <t>Sand, gravel, clay, phosphate, other nonmetallic minerals</t>
  </si>
  <si>
    <t>2123A0</t>
  </si>
  <si>
    <t>Well drilling</t>
  </si>
  <si>
    <t>Drilling oil and gas wells'. This U.S. industry comprises establishments primarily engaged in drilling oil and gas wells for others on a contract or fee basis. This industry includes contractors that specialize in spudding in, drilling in, redrilling, and directional drilling.</t>
  </si>
  <si>
    <t>2131: Support Activities for Mining</t>
  </si>
  <si>
    <t>Other support activities for mining</t>
  </si>
  <si>
    <t>21311A</t>
  </si>
  <si>
    <t>Natural gas distribution'. This industry comprises (1) establishments primarily engaged in operating gas distribution systems (e.g., mains, meters); (2) establishments known as gas marketers that buy gas from the well and sell it to a distribution system; (3) establishments known as gas brokers or agents that arrange the sale of gas over gas distribution systems operated by others; and (4) establishments primarily engaged in transmitting and distributing gas to final consumers.</t>
  </si>
  <si>
    <t>22: Utilities</t>
  </si>
  <si>
    <t>2212: Natural Gas Distribution</t>
  </si>
  <si>
    <t>Drinking water and wastewater treatment</t>
  </si>
  <si>
    <t>Water, sewage and other systems'. This industry comprises establishments primarily engaged in operating water treatment plants and/or operating water supply systems. The water supply system may include pumping stations, aqueducts, and/or distribution mains. The water may be used for drinking, irrigation, or other uses.</t>
  </si>
  <si>
    <t>2213: Water, Sewage and Other Systems</t>
  </si>
  <si>
    <t>Single-family homes</t>
  </si>
  <si>
    <t>23: Construction</t>
  </si>
  <si>
    <t>2361: Residential Building Construction</t>
  </si>
  <si>
    <t>Multifamily homes</t>
  </si>
  <si>
    <t>Residential building repair and maintanence</t>
  </si>
  <si>
    <t>Residential maintenance and repair. This industry comprises maintenance and repair of residential buildings.</t>
  </si>
  <si>
    <t>230301,233230</t>
  </si>
  <si>
    <t>2362: Nonresidential Building Construction</t>
  </si>
  <si>
    <t>Utilities buildings and infrastructure</t>
  </si>
  <si>
    <t>Power and communication structures. This industry comprises construction of power and communication structures</t>
  </si>
  <si>
    <t>2371: Utility System Construction</t>
  </si>
  <si>
    <t>Highways, streets, and bridges</t>
  </si>
  <si>
    <t>Other nonresidential structures</t>
  </si>
  <si>
    <t>2332D0</t>
  </si>
  <si>
    <t>230301,233240,2332D0,2334A0,233230,233412,233210,2332A0,230302,233262,233411</t>
  </si>
  <si>
    <t>230301,233210,2332D0,233412,233262,2332A0,233411,233230,2334A0,233240,230302</t>
  </si>
  <si>
    <t xml:space="preserve">This industry comprises establishments primarily engaged in (1) erecting and assembling structural parts made from steel or precast concrete (e.g., steel beams, structural steel components, and similar products of precast concrete) and/or (2) assembling and installing other steel construction products (e.g., steel rods, bars, rebar, mesh, and cages) to reinforce poured-in-place concrete.  The work performed may include new work, additions, alterations, maintenance, and repairs.  Illustrative Examples:  Concrete product (e.g., structural precast, structural prestressed) installation Rebar contractors Erecting structural steel Reinforcing steel contractors Placing and tying reinforcing rod at a construction site Structural steel contractors Precast concrete panel, slab, or form installation   </t>
  </si>
  <si>
    <t>230302,233240,230301,233230,233411,233262,233412,2334A0,2332D0,233210,2332A0</t>
  </si>
  <si>
    <t>233240,2332A0,2332D0,233411,233262,233412,233230,230301,2334A0,233210,230302</t>
  </si>
  <si>
    <t>233230,2334A0,2332D0,233262,233210,2332A0,233411,230301,233412,233240,230302</t>
  </si>
  <si>
    <t>2332D0,230301,233411,2334A0,233262,233230,230302,233412,233210,2332A0,233240</t>
  </si>
  <si>
    <t>233230,2334A0,2332A0,233262,230302,230301,233411,233412,233240,233210,2332D0</t>
  </si>
  <si>
    <t>230302,233262,230301,233412,233210,2334A0,2332A0,233230,233240,233411,2332D0</t>
  </si>
  <si>
    <t>Electrical Contractors and Other Wiring Installation Contractors</t>
  </si>
  <si>
    <t>2332D0,2332A0,233411,233210,230301,2334A0,233240,233230,233262,233412,230302</t>
  </si>
  <si>
    <t>233412,230301,2332A0,230302,233230,233262,233411,2332D0,2334A0,233240,233210</t>
  </si>
  <si>
    <t>233262,2332A0,233411,2332D0,2334A0,233210,233240,230302,233412,230301,233230</t>
  </si>
  <si>
    <t>233210,233240,233411,2334A0,230301,233412,2332A0,2332D0,230302,233262,233230</t>
  </si>
  <si>
    <t>Painting and Wall Covering Contractors</t>
  </si>
  <si>
    <t>230301,2334A0,2332A0,233240,233262,233230,233412,233411,2332D0,230302,233210</t>
  </si>
  <si>
    <t>Flooring Contractors</t>
  </si>
  <si>
    <t>233411,230301,233230,2332D0,2334A0,233262,233412,233240,2332A0,233210,230302</t>
  </si>
  <si>
    <t>Tile and Terrazzo Contractors</t>
  </si>
  <si>
    <t>233411,233230,233412,233262,2332D0,2332A0,230301,233240,2334A0,230302,233210</t>
  </si>
  <si>
    <t>Finish Carpentry Contractors</t>
  </si>
  <si>
    <t>233411,2332D0,233240,233412,2332A0,2334A0,233262,230301,230302,233230,233210</t>
  </si>
  <si>
    <t>Other Building Finishing Contractors</t>
  </si>
  <si>
    <t>233411,233230,2332A0,2334A0,233240,233210,233412,230301,2332D0,230302,233262</t>
  </si>
  <si>
    <t>Site Preparation Contractors</t>
  </si>
  <si>
    <t>233240,2334A0,233210,2332D0,230301,233262,230302,233411,2332A0,233412,233230</t>
  </si>
  <si>
    <t>All Other Specialty Trade Contractors</t>
  </si>
  <si>
    <t>2334A0,230301,230302,233230,233262,2332D0,233411,2332A0,233412,233210,233240</t>
  </si>
  <si>
    <t>Dog and cat food</t>
  </si>
  <si>
    <t>Dog and cat food manufacturing'. This U.S. industry comprises establishments primarily engaged in manufacturing dog and cat food from ingredients, such as grains, oilseed mill products, and meat products.</t>
  </si>
  <si>
    <t>31-33: Manufacturing</t>
  </si>
  <si>
    <t>3111: Animal Food Manufacturing</t>
  </si>
  <si>
    <t>Other animal food</t>
  </si>
  <si>
    <t>Flours and malts</t>
  </si>
  <si>
    <t>Flour milling and malt manufacturing'. This industry comprises establishments primarily engaged in one or more of the following (1) milling flour or meal from grains or vegetables; (2) preparing flour mixes or doughs from flour milled in the same establishment; (3) milling, cleaning, and polishing rice; and (4) manufacturing malt from barley, rye, or other grains.</t>
  </si>
  <si>
    <t>3112: Grain and Oilseed Milling</t>
  </si>
  <si>
    <t>Corn products</t>
  </si>
  <si>
    <t>Vegetable oils and by-products</t>
  </si>
  <si>
    <t>Refined vegetable, olive, and seed oils</t>
  </si>
  <si>
    <t>Breakfast cereals</t>
  </si>
  <si>
    <t>Sugar, candy, and chocolate</t>
  </si>
  <si>
    <t>Sugar and confectionery product manufacturing'. This industry group comprises (1) establishments that process agricultural inputs, such as sugarcane, beet, and cacao, to give rise to a new product (sugar or chocolate), and (2) those that begin with sugar and chocolate and process these further.</t>
  </si>
  <si>
    <t>3113: Sugar and Confectionery Product Manufacturing</t>
  </si>
  <si>
    <t>Frozen food</t>
  </si>
  <si>
    <t>Frozen food manufacturing'. This industry comprises establishments primarily engaged in manufacturing frozen fruit, frozen juices, frozen vegetables, and frozen specialty foods (except seafood), such as frozen dinners, entrees, and side dishes; frozen pizza; frozen whipped toppings; and frozen waffles, pancakes, and french toast.</t>
  </si>
  <si>
    <t>3114: Fruit and Vegetable Preserving and Specialty Food Manufacturing</t>
  </si>
  <si>
    <t>Fruit and vegetable preservation</t>
  </si>
  <si>
    <t>Fluid milk and butter</t>
  </si>
  <si>
    <t>31151A</t>
  </si>
  <si>
    <t>3115: Dairy Product Manufacturing</t>
  </si>
  <si>
    <t>Cheese</t>
  </si>
  <si>
    <t>Cheese manufacturing. This U.S. industry comprises establishments primarily engaged in (1) manufacturing cheese products (except cottage cheese) from raw milk and/or processed milk products and/or (2) manufacturing cheese substitutes from soybean and other nondairy substances.</t>
  </si>
  <si>
    <t>Dry, condensed, and evaporated dairy</t>
  </si>
  <si>
    <t>Ice cream and frozen desserts</t>
  </si>
  <si>
    <t>Packaged meat (except poultry)</t>
  </si>
  <si>
    <t>31161A</t>
  </si>
  <si>
    <t>3116: Animal Slaughtering and Processing</t>
  </si>
  <si>
    <t>Packaged poultry</t>
  </si>
  <si>
    <t>Poultry processing. This U.S. industry comprises establishments primarily engaged in (1) slaughtering poultry and small game and/or (2) preparing processed poultry and small game meat and meat byproducts.</t>
  </si>
  <si>
    <t>Seafood</t>
  </si>
  <si>
    <t>Seafood product preparation and packaging'. This industry comprises establishments primarily engaged in one or more of the following (1) canning seafood (including soup); (2) smoking, salting, and drying seafood; (3) eviscerating fresh fish by removing heads, fins, scales, bones, and entrails; (4) shucking and packing fresh shellfish; (5) processing marine fats and oils; and (6) freezing seafood. Establishments known as "floating factory ships" that are engaged in the gathering and processing of seafood into canned seafood products are included in this industry.</t>
  </si>
  <si>
    <t>3117: Seafood Product Preparation and Packaging</t>
  </si>
  <si>
    <t>Bread and other baked goods</t>
  </si>
  <si>
    <t>Bread and bakery product manufacturing. This industry comprises establishments primarily engaged in manufacturing fresh and frozen bread and other bakery products.</t>
  </si>
  <si>
    <t>3118: Bakeries and Tortilla Manufacturing</t>
  </si>
  <si>
    <t>Cookies, crackers, pastas, and tortillas</t>
  </si>
  <si>
    <t>3118A0</t>
  </si>
  <si>
    <t>Snack foods</t>
  </si>
  <si>
    <t>Snack food manufacturing'. This industry group comprises establishments primarily engaged in manufacturing food (except animal food; grain and oilseed milling; sugar and confectionery products; preserved fruit, vegetable, and specialty foods; dairy products; meat products; seafood products; and bakeries and tortillas). The industry group includes industries with different production processes, such as snack food manufacturing; coffee and tea manufacturing; concentrate, syrup, condiment, and spice manufacturing; and, in general, an entire range of other miscellaneous food product manufacturing.</t>
  </si>
  <si>
    <t>3119: Other Food Manufacturing</t>
  </si>
  <si>
    <t>Coffee and tea</t>
  </si>
  <si>
    <t>Flavored drink concentrates</t>
  </si>
  <si>
    <t>Seasonings and dressings</t>
  </si>
  <si>
    <t>All other foods</t>
  </si>
  <si>
    <t>Soft drinks, bottled water, and ice</t>
  </si>
  <si>
    <t>Soft drink and ice manufacturing. This industry comprises establishments primarily engaged in one or more of the following (1) manufacturing soft drinks; (2) manufacturing ice; and (3) purifying and bottling water.</t>
  </si>
  <si>
    <t>3121: Beverage Manufacturing</t>
  </si>
  <si>
    <t>Breweries and beer</t>
  </si>
  <si>
    <t>Wineries and wine</t>
  </si>
  <si>
    <t>Distilleries and spirits</t>
  </si>
  <si>
    <t>Tobacco products</t>
  </si>
  <si>
    <t>Tobacco product manufacturing'. This industry comprises establishments primarily engaged in manufacturing cigarettes, cigars, smoking and chewing tobacco, and reconstituted tobacco.</t>
  </si>
  <si>
    <t>3122: Tobacco Manufacturing</t>
  </si>
  <si>
    <t>Fiber, yarn, and thread</t>
  </si>
  <si>
    <t>Fiber, yarn, and thread mills'. This industry comprises establishments primarily engaged in one or more of the following (1) spinning yarn; (2) manufacturing thread of any fiber; (3) texturizing, throwing, twisting, and winding purchased yarn or manmade fiber filaments; and (4) producing hemp yarn and further processing into rope or bags.</t>
  </si>
  <si>
    <t>3131: Fiber, Yarn, and Thread Mills</t>
  </si>
  <si>
    <t>Fabric</t>
  </si>
  <si>
    <t>Fabric mills'. This industry group comprises (1) Broadwoven Fabric Mills, (2) Narrow Fabric Mills and Schiffli Machine Embroidery, (3) Nonwoven Fabric Mills, and (4) Knit Fabric Mills.</t>
  </si>
  <si>
    <t>3132: Fabric Mills</t>
  </si>
  <si>
    <t>Finished and coated fabric</t>
  </si>
  <si>
    <t>Textile and fabric finishing and fabric coating mills'. This industry group comprises (1) Textile and Fabric Finishing Mills, and (2) Fabric Coating Mills.</t>
  </si>
  <si>
    <t>3133: Textile and Fabric Finishing and Fabric Coating Mills</t>
  </si>
  <si>
    <t>Carpets and rugs</t>
  </si>
  <si>
    <t>Carpet and rug mills'. This industry comprises establishments primarily engaged in (1) manufacturing woven, tufted, and other carpets and rugs, such as art squares, floor mattings, needlepunch carpeting, and door mats and mattings, from textile materials or from twisted paper, grasses, reeds, sisal, jute, or rags and/or (2) finishing carpets and rugs.</t>
  </si>
  <si>
    <t>3141: Textile Furnishings Mills</t>
  </si>
  <si>
    <t>Curtains and linens</t>
  </si>
  <si>
    <t>Other textiles</t>
  </si>
  <si>
    <t>Other textile product mills'. This industry group comprises establishments primarily engaged in making textile products (except carpets and rugs, curtains and draperies, and other household textile products) from purchased materials.</t>
  </si>
  <si>
    <t>3149: Other Textile Product Mills</t>
  </si>
  <si>
    <t>Clothing</t>
  </si>
  <si>
    <t>Apparel manufacturing'. Industries in the Apparel Manufacturing subsector group establishments with two distinct manufacturing processes (1) cut and sew (i.e., purchasing fabric and cutting and sewing to make a garment), and (2) the manufacture of garments in establishments that first knit fabric and then cut and sew the fabric into a garment. The Apparel Manufacturing subsector includes a diverse range of establishments manufacturing full lines of ready-to-wear apparel and custom apparel apparel contractors, performing cutting or sewing operations on materials owned by others; jobbers performing entrepreneurial functions involved in apparel manufacture; and tailors, manufacturing custom garments for individual clients are all included. Knitting, when done alone, is classified in the Textile Mills subsector, but when knitting is combined with the production of complete garments, the activity is classified in Apparel Manufacturing.</t>
  </si>
  <si>
    <t>3151: Apparel Knitting Mills</t>
  </si>
  <si>
    <t>Leather</t>
  </si>
  <si>
    <t>Leather and allied product manufacturing'. Establishments in the Leather and Allied Product Manufacturing subsector transform hides into leather by tanning or curing and fabricating the leather into products for final consumption. It also includes the manufacture of similar products from other materials, including products (except apparel) made from "leather substitutes," such as rubber, plastics, or textiles. Rubber footwear, textile luggage, and plastics purses or wallets are examples of "leather substitute" products included in this group. The products made from leather substitutes are included in this subsector because they are made in similar ways leather products are made (e.g., luggage). They are made in the same establishments, so it is not practical to separate them. The inclusion of leather making in this subsector is partly because leather tanning is a relatively small industry that has few close neighbors as a production process, partly because leather is an input to some of the other products classified in this subsector and partly for historical reasons.</t>
  </si>
  <si>
    <t>3161: Leather and Hide Tanning and Finishing</t>
  </si>
  <si>
    <t>Lumber and treated lumber</t>
  </si>
  <si>
    <t>Sawmills and wood preservation'. This industry group comprises establishments whose primary production process begins with logs or bolts that are transformed into boards, dimension lumber, beams, timbers, poles, ties, shingles, shakes, siding, and wood chips. Establishments that cut and treat round wood and/or treat wood products made in other establishments to prevent rotting by impregnation with creosote or other chemical compounds are also included in this industry group.</t>
  </si>
  <si>
    <t>3211: Sawmills and Wood Preservation</t>
  </si>
  <si>
    <t>Plywood and veneer</t>
  </si>
  <si>
    <t>Veneer, plywood, and engineered wood product manufacturing'. This industry comprises establishments primarily engaged in one or more of the following (1) manufacturing veneer and/or plywood; (2) manufacturing engineered wood members; and (3) manufacturing reconstituted wood products. This industry includes manufacturing plywood from veneer made in the same establishment or from veneer made in other establishments, and manufacturing plywood faced with nonwood materials, such as plastics or metal.</t>
  </si>
  <si>
    <t>3212: Veneer, Plywood, and Engineered Wood Product Manufacturing</t>
  </si>
  <si>
    <t>Wooden windows, door, and flooring</t>
  </si>
  <si>
    <t>Millwork'. This industry comprises establishments primarily engaged in manufacturing hardwood and softwood cut stock and dimension stock (i.e., shapes); wood windows and wood doors; and other millwork including wood flooring. Dimension stock or cut stock is defined as lumber and worked wood products cut or shaped to specialized sizes. These establishments generally use woodworking machinery, such as jointers, planers, lathes, and routers to shape wood.</t>
  </si>
  <si>
    <t>3219: Other Wood Product Manufacturing</t>
  </si>
  <si>
    <t>Veneer, plywood, and engineered wood</t>
  </si>
  <si>
    <t>3219A0</t>
  </si>
  <si>
    <t>Wood pulp</t>
  </si>
  <si>
    <t>Pulp mills'. This industry comprises establishments primarily engaged in manufacturing pulp without manufacturing paper or paperboard. The pulp is made by separating the cellulose fibers from the other impurities in wood or other materials, such as used or recycled rags, linters, scrap paper, and straw.</t>
  </si>
  <si>
    <t>3221: Pulp, Paper, and Paperboard Mills</t>
  </si>
  <si>
    <t>Paper</t>
  </si>
  <si>
    <t>Cardboard</t>
  </si>
  <si>
    <t>Cardboard containers</t>
  </si>
  <si>
    <t>Paperboard container manufacturing'. This industry comprises establishments primarily engaged in converting paperboard into containers without manufacturing paperboard. These establishments use corrugating, cutting, and shaping machinery to form paperboard into containers. Products made by these establishments include boxes, corrugated sheets, pads, pallets, paper dishes, and fiber drums, and reels.</t>
  </si>
  <si>
    <t>3222: Converted Paper Product Manufacturing</t>
  </si>
  <si>
    <t>Paper bags and coated paper</t>
  </si>
  <si>
    <t>Stationery</t>
  </si>
  <si>
    <t>Sanitary paper (tissues, napkins, diapers, etc.)</t>
  </si>
  <si>
    <t>All other converted paper products</t>
  </si>
  <si>
    <t>Books, newspapers, magazines, and other print media</t>
  </si>
  <si>
    <t>Printing'. This industry comprises establishments primarily engaged in printing on apparel and textile products, paper, metal, glass, plastics, and other materials, except fabric (grey goods). The printing processes employed include, but are not limited to, lithographic, gravure, screen, flexographic, digital, and letterpress. Establishments in this industry do not manufacture the stock that they print, but may perform postprinting activities, such as folding, cutting, or laminating the materials they print, and mailing.</t>
  </si>
  <si>
    <t>3231: Printing and Related Support Activities</t>
  </si>
  <si>
    <t>Printing support</t>
  </si>
  <si>
    <t>Gasoline, fuels, and by-products of petroleum refining</t>
  </si>
  <si>
    <t>Petroleum refineries. This industry comprises establishments primarily engaged in refining crude petroleum into refined petroleum. Petroleum refining involves one or more of the following activities (1) fractionation; (2) straight distillation of crude oil; and (3) cracking.</t>
  </si>
  <si>
    <t>3241: Petroleum and Coal Products Manufacturing</t>
  </si>
  <si>
    <t>Asphalt pavement</t>
  </si>
  <si>
    <t>Asphalt shingles</t>
  </si>
  <si>
    <t>Other petroleum and coal products</t>
  </si>
  <si>
    <t>Petrochemicals</t>
  </si>
  <si>
    <t>Petrochemical manufacturing'. This industry comprises establishments primarily engaged in (1) manufacturing acyclic (i.e., aliphatic) hydrocarbons such as ethylene, propylene, and butylene made from refined petroleum or liquid hydrocarbons and/or (2) manufacturing cyclic aromatic hydrocarbons such as benzene, toluene, styrene, xylene, ethyl benzene, and cumene made from refined petroleum or liquid hydrocarbons.</t>
  </si>
  <si>
    <t>3251: Basic Chemical Manufacturing</t>
  </si>
  <si>
    <t>Compressed Gases</t>
  </si>
  <si>
    <t>Synthetic dyes and pigments</t>
  </si>
  <si>
    <t>Other basic inorganic chemicals</t>
  </si>
  <si>
    <t>Other basic organic chemicals</t>
  </si>
  <si>
    <t>Plastics material and resin manufacturing'. This U.S. industry comprises establishments primarily engaged in (1) manufacturing resins, plastics materials, and nonvulcanizable thermoplastic elastomers and mixing and blending resins on a custom basis and/or (2) manufacturing noncustomized synthetic resins.</t>
  </si>
  <si>
    <t>3252: Resin, Synthetic Rubber, and Artificial and Synthetic Fibers and Filaments Manufacturing</t>
  </si>
  <si>
    <t>Synthetic rubber and artificial and synthetic fibers</t>
  </si>
  <si>
    <t>3252A0</t>
  </si>
  <si>
    <t>Fertilizers</t>
  </si>
  <si>
    <t>Fertilizer manufacturing'. This industry group comprises (1) Fertilizer Manufacturing, and (2) Pesticide and Other Agricultural Chemical Manufacturing.</t>
  </si>
  <si>
    <t>3253: Pesticide, Fertilizer, and Other Agricultural Chemical Manufacturing</t>
  </si>
  <si>
    <t>Pesticides</t>
  </si>
  <si>
    <t>Medicinal and botanical ingredients</t>
  </si>
  <si>
    <t>Medicinal and botanical manufacturing'. This U.S. industry comprises establishments primarily engaged in (1) manufacturing uncompounded medicinal chemicals and their derivatives (i.e., generally for use by pharmaceutical preparation manufacturers) and/or (2) grading, grinding, and milling uncompounded botanicals.</t>
  </si>
  <si>
    <t>3254: Pharmaceutical and Medicine Manufacturing</t>
  </si>
  <si>
    <t>Pharmaceutical products (pills, powders, solutions, etc.)</t>
  </si>
  <si>
    <t>Blood sugar, pregnancy, and other diagnostic test kits</t>
  </si>
  <si>
    <t>Vaccines and other biological medical products</t>
  </si>
  <si>
    <t>Paints and coatings</t>
  </si>
  <si>
    <t>Paint and coating manufacturing'. This industry comprises establishments primarily engaged in (1) mixing pigments, solvents, and binders into paints and other coatings, such as stains, varnishes, lacquers, enamels, shellacs, and water repellant coatings for concrete and masonry, and/or (2) manufacturing allied paint products, such as putties, paint and varnish removers, paint brush cleaners, and frit.</t>
  </si>
  <si>
    <t>3255: Paint, Coating, and Adhesive Manufacturing</t>
  </si>
  <si>
    <t>Adhesives</t>
  </si>
  <si>
    <t>Soap and cleaning compounds</t>
  </si>
  <si>
    <t>Soap and cleaning compound manufacturing'. This industry comprises establishments primarily engaged in manufacturing and packaging soap and other cleaning compounds, surface active agents, and textile and leather finishing agents used to reduce tension or speed the drying process.</t>
  </si>
  <si>
    <t>3256: Soap, Cleaning Compound, and Toilet Preparation Manufacturing</t>
  </si>
  <si>
    <t>Toiletries</t>
  </si>
  <si>
    <t>Ink and ink cartridges</t>
  </si>
  <si>
    <t>Printing ink manufacturing. This industry comprises establishments primarily engaged in manufacturing printing and inkjet inks and inkjet cartridges.</t>
  </si>
  <si>
    <t>3259: Other Chemical Product and Preparation Manufacturing</t>
  </si>
  <si>
    <t>Chemicals (except basic chemicals, agrichemicals, polymers, paints, pharmaceuticals,soaps, cleaning compounds)</t>
  </si>
  <si>
    <t>3259A0</t>
  </si>
  <si>
    <t>Plastic bags, films, and sheets</t>
  </si>
  <si>
    <t>Plastics packaging materials and unlaminated film and sheet manufacturing'. This industry comprises establishments primarily engaged in (1) converting plastics resins into unsupported plastics film and sheet and/or (2) forming, coating or laminating plastics film and sheet into plastics bags.</t>
  </si>
  <si>
    <t>3261: Plastics Product Manufacturing</t>
  </si>
  <si>
    <t>Plastic pipe, fittings, and sausage casings</t>
  </si>
  <si>
    <t>Laminated plastic plates and shapes</t>
  </si>
  <si>
    <t>Polystyrene foam products</t>
  </si>
  <si>
    <t>Urethane and other foam products</t>
  </si>
  <si>
    <t>Plastic bottles</t>
  </si>
  <si>
    <t>Other plastic products</t>
  </si>
  <si>
    <t>Rubber tires</t>
  </si>
  <si>
    <t>Tire manufacturing. This industry comprises establishments primarily engaged in manufacturing tires and inner tubes from natural and synthetic rubber and retreading or rebuilding tires.</t>
  </si>
  <si>
    <t>3262: Rubber Product Manufacturing</t>
  </si>
  <si>
    <t>Rubber and plastic belts and hoses</t>
  </si>
  <si>
    <t>Other rubber products</t>
  </si>
  <si>
    <t>Clay and ceramic products</t>
  </si>
  <si>
    <t>Clay product and refractory manufacturing'. This industry group comprises (1) Pottery, Ceramics, and Plumbing Fixture Manufacturing, and (2) Clay Building Material and Refractories Manufacturing.</t>
  </si>
  <si>
    <t>3271: Clay Product and Refractory Manufacturing</t>
  </si>
  <si>
    <t>Glass and glass products</t>
  </si>
  <si>
    <t>Glass and glass product manufacturing'. This industry comprises establishments primarily engaged in manufacturing glass and/or glass products. Establishments in this industry may manufacture glass and/or glass products by melting silica sand or cullet, or purchasing glass.</t>
  </si>
  <si>
    <t>3272: Glass and Glass Product Manufacturing</t>
  </si>
  <si>
    <t>Cement</t>
  </si>
  <si>
    <t>Cement manufacturing'. This industry comprises establishments primarily engaged in manufacturing portland, natural, masonry, pozzolanic, and other hydraulic cements. Cement manufacturing establishments may calcine earths or mine, quarry, manufacture, or purchase lime.</t>
  </si>
  <si>
    <t>3273: Cement and Concrete Product Manufacturing</t>
  </si>
  <si>
    <t>Ready-mix concrete</t>
  </si>
  <si>
    <t>Concrete pipe, bricks, and blocks</t>
  </si>
  <si>
    <t>Other concrete products</t>
  </si>
  <si>
    <t>Lime and gypsum products</t>
  </si>
  <si>
    <t>Lime and gypsum product manufacturing'. This industry group comprises (1) Lime Manufacturing, and (2) Gypsum Product Manufacturing.</t>
  </si>
  <si>
    <t>3274: Lime and Gypsum Product Manufacturing</t>
  </si>
  <si>
    <t>Abrasive products</t>
  </si>
  <si>
    <t>Abrasive product manufacturing'. This industry comprises establishments primarily engaged in manufacturing abrasive grinding wheels of natural or synthetic materials, abrasive-coated products, and other abrasive products.</t>
  </si>
  <si>
    <t>3279: Other Nonmetallic Mineral Product Manufacturing</t>
  </si>
  <si>
    <t>Cut stone and stone products</t>
  </si>
  <si>
    <t>Ground or treated minerals and earth</t>
  </si>
  <si>
    <t>Mineral wool</t>
  </si>
  <si>
    <t>Other nonmetallic mineral products</t>
  </si>
  <si>
    <t>Primary iron, steel, and ferroalloy products</t>
  </si>
  <si>
    <t>Iron and steel mills and ferroalloy manufacturing'. This industry comprises establishments primarily engaged in one or more of the following (1) direct reduction of iron ore; (2) manufacturing pig iron in molten or solid form; (3) converting pig iron into steel; (4) manufacturing ferroalloys; (5) making steel; (6) making steel and manufacturing shapes (e.g., bar, plate, rod, sheet, strip, wire); and (7) making steel and forming pipe and tube.</t>
  </si>
  <si>
    <t>3311: Iron and Steel Mills and Ferroalloy Manufacturing</t>
  </si>
  <si>
    <t>Secondary steel products</t>
  </si>
  <si>
    <t>Steel product manufacturing from purchased steel'. This industry group comprises establishments primarily engaged in manufacturing iron and steel tube and pipe, drawing steel wire, and rolling or drawing shapes from purchased iron or steel.</t>
  </si>
  <si>
    <t>3312: Steel Product Manufacturing from Purchased Steel</t>
  </si>
  <si>
    <t>Primary aluminum</t>
  </si>
  <si>
    <t>Alumina refining and primary aluminum production'. This U.S. industry comprises establishments primarily engaged in (1) refining alumina (i.e., aluminum oxide) generally from bauxite and (2) making aluminum from alumina and/or rolling, drawing, extruding, or casting the aluminum they make into primary forms (e.g., bar, billet, ingot, plate, rod, sheet, strip). Establishments in this industry may make primary aluminum or aluminum-based alloys from alumina.</t>
  </si>
  <si>
    <t>3313: Alumina and Aluminum Production and Processing</t>
  </si>
  <si>
    <t>Secondary aluminum</t>
  </si>
  <si>
    <t>33131B</t>
  </si>
  <si>
    <t>Copper, gold and silver concentrates</t>
  </si>
  <si>
    <t>Nonferrous metal (except aluminum) smelting and refining. This U.S. industry comprises establishments primarily engaged in (1) smelting ores into nonferrous metals and/or (2) the primary refining of nonferrous metals (except aluminum) by electrolytic methods or other processes.</t>
  </si>
  <si>
    <t>3314: Nonferrous Metal (except Aluminum) Production and Processing</t>
  </si>
  <si>
    <t>Secondary copper products</t>
  </si>
  <si>
    <t>Other secondary nonferrous metal products</t>
  </si>
  <si>
    <t>Cast iron and steel</t>
  </si>
  <si>
    <t>Ferrous metal foundries. This industry comprises establishments primarily engaged in pouring molten iron and steel into molds of a desired shape to make castings. Establishments in this industry purchase iron and steel made in other establishments.</t>
  </si>
  <si>
    <t>3315: Foundries</t>
  </si>
  <si>
    <t>Nonferrous metal casts</t>
  </si>
  <si>
    <t>All other forging, stamping, and sintering</t>
  </si>
  <si>
    <t>33211A</t>
  </si>
  <si>
    <t>3321: Forging and Stamping</t>
  </si>
  <si>
    <t>Custom metal rolls</t>
  </si>
  <si>
    <t>Custom roll forming. This U.S. industry comprises establishments primarily engaged in custom roll forming metal products by use of rotary motion of rolls with various contours to bend or shape the products.</t>
  </si>
  <si>
    <t>Lids, jars, bottle caps, other metal closures and crowns</t>
  </si>
  <si>
    <t>Cutlery and handtools</t>
  </si>
  <si>
    <t>Cutlery and handtool manufacturing'. This industry comprises establishments primarily engaged in one or more of the following (1) manufacturing nonprecious and precious plated metal cutlery and flatware; (2) manufacturing nonpowered hand and edge tools; (3) manufacturing nonpowered handsaws; (4) manufacturing saw blades, all types (including those for sawing machines); and (5) manufacturing metal kitchen utensils (except cutting-type) and pots and pans (except those manufactured by casting (e.g., cast iron skillets) or stamped without further fabrication).</t>
  </si>
  <si>
    <t>3322: Cutlery and Handtool Manufacturing</t>
  </si>
  <si>
    <t>Metal structural products</t>
  </si>
  <si>
    <t>Plate work and fabricated structural product manufacturing'. This industry comprises establishments primarily engaged in manufacturing one or more of the following (1) prefabricated metal buildings, panels and sections; (2) structural metal products; and (3) metal plate work products.</t>
  </si>
  <si>
    <t>3323: Architectural and Structural Metals Manufacturing</t>
  </si>
  <si>
    <t>Metal windows, doors, and architectural products</t>
  </si>
  <si>
    <t>Power boilers and heat exchangers</t>
  </si>
  <si>
    <t>Power boiler and heat exchanger manufacturing. This industry comprises establishments primarily engaged in manufacturing power boilers and heat exchangers. Establishments in this industry may perform installation in addition to manufacturing power boilers and heat exchangers.</t>
  </si>
  <si>
    <t>3324: Boiler, Tank, and Shipping Container Manufacturing</t>
  </si>
  <si>
    <t>Heavy gauge metal tanks</t>
  </si>
  <si>
    <t>Light gauge metal cans, boxes, and containers</t>
  </si>
  <si>
    <t>Metal hinges, keys, lock, and other hardware</t>
  </si>
  <si>
    <t>Hardware manufacturing'. This industry comprises establishments primarily engaged in manufacturing metal hardware, such as metal hinges, metal handles, keys, and locks (except coin-operated, time locks).</t>
  </si>
  <si>
    <t>3325: Hardware Manufacturing</t>
  </si>
  <si>
    <t>Springs and wires</t>
  </si>
  <si>
    <t>Spring and wire product manufacturing'. This industry comprises establishments primarily engaged in (1) manufacturing steel springs by forming, such as cutting, bending, and heat winding, metal rod or strip stock and/or (2) manufacturing wire springs and fabricated wire products from wire drawn elsewhere (except watch and clock springs).</t>
  </si>
  <si>
    <t>3326: Spring and Wire Product Manufacturing</t>
  </si>
  <si>
    <t>Machine shops</t>
  </si>
  <si>
    <t>Machine shops'. This industry comprises establishments known as machine shops primarily engaged in machining metal and plastic parts and parts of other composite materials on a job or order basis. Generally machine shop jobs are low volume using machine tools, such as lathes (including computer numerically controlled); automatic screw machines; and machines for boring, grinding, and milling.</t>
  </si>
  <si>
    <t>3327: Machine Shops; Turned Product; and Screw, Nut, and Bolt Manufacturing</t>
  </si>
  <si>
    <t>Screws, nuts, and bolts</t>
  </si>
  <si>
    <t>Metal coatings, engravings, and heat treatments</t>
  </si>
  <si>
    <t>Coating, engraving, heat treating and allied activities'. This industry comprises establishments primarily engaged in one or more of the following (1) heat treating metals and metal products; (2) enameling, lacquering, and varnishing metals and metal products; (3) hot dip galvanizing metals and metal products; (4) engraving, chasing, or etching metals and metal products (except jewelry; personal goods carried on or about the person, such as compacts and cigarette cases; precious metal products (except precious plated flatware and other plated ware); and printing plates); (5) powder coating metals and metal products; (6) electroplating, plating, anodizing, coloring, and finishing metals and metal products; and (7) providing other metal surfacing services for the trade. Establishments in this industry coat, engrave, and heat treat metals and metal formed products fabricated elsewhere.</t>
  </si>
  <si>
    <t>3328: Coating, Engraving, Heat Treating, and Allied Activities</t>
  </si>
  <si>
    <t>Valve and fittings (except for plumbing)</t>
  </si>
  <si>
    <t>33291A</t>
  </si>
  <si>
    <t>3329: Other Fabricated Metal Product Manufacturing</t>
  </si>
  <si>
    <t>Metal plumbing drains, faucets, valves, and other fittings</t>
  </si>
  <si>
    <t>Plumbing fixture fitting and trim manufacturing'. This U.S. industry comprises establishments primarily engaged in manufacturing metal and plastics plumbing fixture fittings and trim, such as faucets, flush valves, and shower heads.</t>
  </si>
  <si>
    <t>Ball and roller bearings</t>
  </si>
  <si>
    <t>Ammunition, arms, ordnance, and related accessories</t>
  </si>
  <si>
    <t>33299A</t>
  </si>
  <si>
    <t>Fabricated pipe and pipe fittings</t>
  </si>
  <si>
    <t>Misc. fabricated metal products</t>
  </si>
  <si>
    <t>Farm machinery and equipment</t>
  </si>
  <si>
    <t>Farm machinery and equipment manufacturing'. This U.S. industry comprises establishments primarily engaged in manufacturing agricultural and farm machinery and equipment, and other turf and grounds care equipment, including planting, harvesting, and grass mowing equipment (except lawn and garden-type).</t>
  </si>
  <si>
    <t>3331: Agriculture, Construction, and Mining Machinery Manufacturing</t>
  </si>
  <si>
    <t>Lawn and garden equipment</t>
  </si>
  <si>
    <t>Construction machinery</t>
  </si>
  <si>
    <t>Mining and oil/gas field machinery</t>
  </si>
  <si>
    <t>Machinery for the paper, textile, food or other industries (except semiconductor machinery)</t>
  </si>
  <si>
    <t>33329A</t>
  </si>
  <si>
    <t>3332: Industrial Machinery Manufacturing</t>
  </si>
  <si>
    <t>Semiconductor machinery</t>
  </si>
  <si>
    <t>Semiconductor machinery manufacturing'. This U.S. industry comprises establishments primarily engaged in manufacturing wafer processing equipment, semiconductor assembly and packaging equipment, and other semiconductor making machinery.</t>
  </si>
  <si>
    <t>Optical instruments and lenses</t>
  </si>
  <si>
    <t>Optical instrument and lens manufacturing'. This U.S. industry comprises establishments primarily engaged in one or more of the following (1) manufacturing optical instruments and lens, such as binoculars, microscopes (except electron, proton), telescopes, prisms, and lenses (except ophthalmic); (2) coating or polishing lenses (except ophthalmic); and (3) mounting lenses (except ophthalmic).</t>
  </si>
  <si>
    <t>3333: Commercial and Service Industry Machinery Manufacturing</t>
  </si>
  <si>
    <t>Photography and photocopying equipment</t>
  </si>
  <si>
    <t>Other commercial and service industry machinery</t>
  </si>
  <si>
    <t>Air purification and ventilation equipment</t>
  </si>
  <si>
    <t>Industrial and commercial fan and blower and air purification equipment manufacturing'. This industry comprises establishments primarily engaged in (1) manufacturing stationary air purification equipment, such as industrial dust and fume collection equipment, electrostatic precipitation equipment, warm air furnace filters, air washers, and other dust collection equipment and/or (2) manufacturing attic fans and industrial and commercial fans and blowers, such as commercial exhaust fans and commercial ventilating fans.</t>
  </si>
  <si>
    <t>3334: Ventilation, Heating, Air-Conditioning, and Commercial Refrigeration Equipment Manufacturing</t>
  </si>
  <si>
    <t>Heating equipment other than warm air furnaces</t>
  </si>
  <si>
    <t>Air conditioning, refrigeration, and warm air heating equipment</t>
  </si>
  <si>
    <t>Industrial molds</t>
  </si>
  <si>
    <t>Industrial mold manufacturing'. This U.S. industry comprises establishments primarily engaged in manufacturing industrial molds for casting metals or forming other materials, such as plastics, glass, or rubber.</t>
  </si>
  <si>
    <t>3335: Metalworking Machinery Manufacturing</t>
  </si>
  <si>
    <t>Special tools, dies, jigs, and fixtures</t>
  </si>
  <si>
    <t>Cutting and machine tool accessory, rolling mill, and other metalworking machines</t>
  </si>
  <si>
    <t>33351B</t>
  </si>
  <si>
    <t>Metal cutting and forming machine tools</t>
  </si>
  <si>
    <t>Turbines and turbine generator sets</t>
  </si>
  <si>
    <t>Turbine and turbine generator set units manufacturing'. This U.S. industry comprises establishments primarily engaged in manufacturing turbines (except aircraft); and complete turbine generator set units, such as steam, hydraulic, gas, and wind.</t>
  </si>
  <si>
    <t>3336: Engine, Turbine, and Power Transmission Equipment Manufacturing</t>
  </si>
  <si>
    <t>Speed changers, industrial high-speed drives, and gears</t>
  </si>
  <si>
    <t>Mechanical power transmission equipment</t>
  </si>
  <si>
    <t>Other engine equipment</t>
  </si>
  <si>
    <t>Air and gas compressors</t>
  </si>
  <si>
    <t>Air and gas compressor manufacturing'. This U.S. industry comprises establishments primarily engaged in manufacturing general purpose air and gas compressors, such as reciprocating compressors, centrifugal compressors, vacuum pumps (except laboratory), and nonagricultural spraying and dusting compressors and spray gun units.</t>
  </si>
  <si>
    <t>3339: Other General Purpose Machinery Manufacturing</t>
  </si>
  <si>
    <t>Material handling equipment</t>
  </si>
  <si>
    <t>Power tools</t>
  </si>
  <si>
    <t>Welding and Soldering Equipment, Scales and Balances, and other general purpose machinery</t>
  </si>
  <si>
    <t>33399A</t>
  </si>
  <si>
    <t>Packaging machinery</t>
  </si>
  <si>
    <t>Industrial process furnaces and ovens</t>
  </si>
  <si>
    <t>Hydraulic pumps, motors, cylinders and actuators</t>
  </si>
  <si>
    <t>33399B</t>
  </si>
  <si>
    <t>Computers</t>
  </si>
  <si>
    <t>Electronic computer manufacturing'. This U.S. industry comprises establishments primarily engaged in manufacturing and/or assembling electronic computers, such as mainframes, personal computers, workstations, laptops, and computer servers. Computers can be analog, digital, or hybrid. Digital computers, the most common type, are devices that do all of the following (1) store the processing program or programs and the data immediately necessary for the execution of the program; (2) can be freely programmed in accordance with the requirements of the user; (3) perform arithmetical computations specified by the user; and (4) execute, without human intervention, a processing program that requires the computer to modify its execution by logical decision during the processing run. Analog computers are capable of simulating mathematical models and contain at least analog, control, and programming elements. The manufacture of computers includes the assembly or integration of processors, coprocessors, memory, storage, and input/output devices into a user-programmable final product.</t>
  </si>
  <si>
    <t>3341: Computer and Peripheral Equipment Manufacturing</t>
  </si>
  <si>
    <t>Computer storage device readers</t>
  </si>
  <si>
    <t>Computer terminals and other computer peripheral equipment</t>
  </si>
  <si>
    <t>Telephones</t>
  </si>
  <si>
    <t>Telephone apparatus manufacturing'. This industry comprises establishments primarily engaged in manufacturing wire telephone and data communications equipment. These products may be standalone or board-level components of a larger system. Examples of products made by these establishments are central office switching equipment, cordless telephones (except cellular), PBX equipment, telephones, telephone answering machines, LAN modems, multi-user modems, and other data communications equipment, such as bridges, routers, and gateways.</t>
  </si>
  <si>
    <t>3342: Communications Equipment Manufacturing</t>
  </si>
  <si>
    <t>Wireless communications</t>
  </si>
  <si>
    <t>Communications equipment</t>
  </si>
  <si>
    <t>Audio and video equipment</t>
  </si>
  <si>
    <t>Audio and video equipment manufacturing'. This industry comprises establishments primarily engaged in manufacturing electronic audio and video equipment for home entertainment, motor vehicles, and public address and musical instrument amplification. Examples of products made by these establishments are video cassette recorders, televisions, stereo equipment, speaker systems, household-type video cameras, jukeboxes, and amplifiers for musical instruments and public address systems.</t>
  </si>
  <si>
    <t>3343: Audio and Video Equipment Manufacturing</t>
  </si>
  <si>
    <t>Electronic capacitors, resistors, coils, transformers, connectors and other components (except  semiconductors and printed circuit assemblies)</t>
  </si>
  <si>
    <t>33441A</t>
  </si>
  <si>
    <t>3344: Semiconductor and Other Electronic Component Manufacturing</t>
  </si>
  <si>
    <t>Semiconductors</t>
  </si>
  <si>
    <t>Semiconductor and related device manufacturing'. This U.S. industry comprises establishments primarily engaged in manufacturing semiconductors and related solid state devices. Examples of products made by these establishments are integrated circuits, memory chips, microprocessors, diodes, transistors, solar cells and other optoelectronic devices.</t>
  </si>
  <si>
    <t>Printed circuit and electronic assembly</t>
  </si>
  <si>
    <t>Electromedical appartuses</t>
  </si>
  <si>
    <t>Electromedical and electrotherapeutic apparatus manufacturing'. This U.S. industry comprises establishments primarily engaged in manufacturing electromedical and electrotherapeutic apparatus, such as magnetic resonance imaging equipment, medical ultrasound equipment, pacemakers, hearing aids, electrocardiographs, and electromedical endoscopic equipment.</t>
  </si>
  <si>
    <t>3345: Navigational, Measuring, Electromedical, and Control Instruments Manufacturing</t>
  </si>
  <si>
    <t>Navigation instruments</t>
  </si>
  <si>
    <t>Automatic controls for HVAC and refrigeration equipment</t>
  </si>
  <si>
    <t>Industrial process variable instruments</t>
  </si>
  <si>
    <t>Fluid meters and counting devices</t>
  </si>
  <si>
    <t>Signal testing instruments</t>
  </si>
  <si>
    <t>Analytical laboratory instruments</t>
  </si>
  <si>
    <t>Irradiation apparatuses</t>
  </si>
  <si>
    <t>Watches, clocks, and other measuring and controlling devices</t>
  </si>
  <si>
    <t>33451A</t>
  </si>
  <si>
    <t>External hard drives, CDs, other storage media</t>
  </si>
  <si>
    <t>Manufacturing and reproducing magnetic and optical media'. This industry comprises establishments primarily engaged in (1) manufacturing optical and magnetic media, such as blank audio tape, blank video tape, and blank diskettes and/or (2) mass duplicating (i.e., making copies) audio, video, software, and other data on magnetic, optical, and similar media.</t>
  </si>
  <si>
    <t>3346: Manufacturing and Reproducing Magnetic and Optical Media</t>
  </si>
  <si>
    <t>Light bulbs</t>
  </si>
  <si>
    <t>Electric lamp bulb and part manufacturing'. This industry comprises establishments primarily engaged in manufacturing electric light bulbs and tubes, and parts and components (except glass blanks for electric light bulbs).</t>
  </si>
  <si>
    <t>3351: Electric Lighting Equipment Manufacturing</t>
  </si>
  <si>
    <t>Light fixtures</t>
  </si>
  <si>
    <t>Small electrical appliances</t>
  </si>
  <si>
    <t>Small electrical appliance manufacturing'. This industry comprises establishments primarily engaged in manufacturing small electric appliances and electric housewares, household-type fans, household-type vacuum cleaners, and other electric householdtype floor care machines.</t>
  </si>
  <si>
    <t>3352: Household Appliance Manufacturing</t>
  </si>
  <si>
    <t>Specialty transformers</t>
  </si>
  <si>
    <t>Power, distribution, and specialty transformer manufacturing'. This U.S. industry comprises establishments primarily engaged in manufacturing power, distribution, and specialty transformers (except electronic components). Industrial-type and consumer-type transformers in this industry vary (e.g., step up or step down) voltage but do not convert alternating to direct or direct to alternating current.</t>
  </si>
  <si>
    <t>3353: Electrical Equipment Manufacturing</t>
  </si>
  <si>
    <t>Motors and generators</t>
  </si>
  <si>
    <t>Switchgear and switchboards</t>
  </si>
  <si>
    <t>Relay and industrial controls</t>
  </si>
  <si>
    <t>Storage batteries</t>
  </si>
  <si>
    <t>Storage battery manufacturing. This U.S. industry comprises establishments primarily engaged in manufacturing storage batteries.</t>
  </si>
  <si>
    <t>3359: Other Electrical Equipment and Component Manufacturing</t>
  </si>
  <si>
    <t>Primary batteries</t>
  </si>
  <si>
    <t>Communication and energy wire and cable</t>
  </si>
  <si>
    <t>Wiring devices</t>
  </si>
  <si>
    <t>Carbon and graphite products</t>
  </si>
  <si>
    <t>other miscellaneous electrical equipment and components</t>
  </si>
  <si>
    <t>Automobiles</t>
  </si>
  <si>
    <t>Automobile manufacturing'. This U.S. industry comprises establishments primarily engaged in (1) manufacturing complete automobiles (i.e., body and chassis or unibody) or (2) manufacturing automobile chassis only.</t>
  </si>
  <si>
    <t>3361: Motor Vehicle Manufacturing</t>
  </si>
  <si>
    <t>Pickup trucks, vans, and SUVs</t>
  </si>
  <si>
    <t>Heavy duty trucks</t>
  </si>
  <si>
    <t>Vehicle bodies</t>
  </si>
  <si>
    <t>Motor vehicle body manufacturing. This U.S. industry comprises establishments primarily engaged in manufacturing truck and bus bodies and cabs and automobile bodies. The products made may be sold separately or may be assembled on purchased chassis and sold as complete vehicles.</t>
  </si>
  <si>
    <t>3362: Motor Vehicle Body and Trailer Manufacturing</t>
  </si>
  <si>
    <t>Truck trailers</t>
  </si>
  <si>
    <t>Motor homes</t>
  </si>
  <si>
    <t>Travel trailer and campers</t>
  </si>
  <si>
    <t>Vehicle engines and engine parts</t>
  </si>
  <si>
    <t>Motor vehicle gasoline engine and engine parts manufacturing'. This industry comprises establishments primarily engaged in manufacturing and/or rebuilding motor vehicle gasoline engines, and engine parts, whether or not for vehicular use.</t>
  </si>
  <si>
    <t>3363: Motor Vehicle Parts Manufacturing</t>
  </si>
  <si>
    <t>Vehicle electrical and electronic equipment</t>
  </si>
  <si>
    <t>Motor vehicle steering, suspension components (except spring), and brake systems</t>
  </si>
  <si>
    <t>3363A0</t>
  </si>
  <si>
    <t>Transmission and power train parts</t>
  </si>
  <si>
    <t>Vehicle seating and interior trim (upholstery)</t>
  </si>
  <si>
    <t>Vehicle metal stamping</t>
  </si>
  <si>
    <t>Other vehicle parts</t>
  </si>
  <si>
    <t>Aircraft</t>
  </si>
  <si>
    <t>Aircraft manufacturing'. This U.S. industry comprises establishments primarily engaged in one or more of the following (1) manufacturing or assembling complete aircraft; (2) developing and making aircraft prototypes; (3) aircraft conversion (i.e., major modifications to systems); and (4) complete aircraft overhaul and rebuilding (i.e., periodic restoration of aircraft to original design specifications).</t>
  </si>
  <si>
    <t>3364: Aerospace Product and Parts Manufacturing</t>
  </si>
  <si>
    <t>Aircraft engines and parts</t>
  </si>
  <si>
    <t>Other aircraft parts</t>
  </si>
  <si>
    <t>Guided missiles and space vehicles</t>
  </si>
  <si>
    <t>Propulsion units and parts for space vehicles and guided missiles</t>
  </si>
  <si>
    <t>33641A</t>
  </si>
  <si>
    <t>Railroad rolling stock</t>
  </si>
  <si>
    <t>Railroad rolling stock manufacturing'. This industry comprises establishments primarily engaged in one or more of the following (1) manufacturing and/or rebuilding locomotives, locomotive frames and parts; (2) manufacturing railroad, street, and rapid transit cars and car equipment for operation on rails for freight and passenger service; and (3) manufacturing rail layers, ballast distributors, rail tamping equipment and other railway track maintenance equipment.</t>
  </si>
  <si>
    <t>3365: Railroad Rolling Stock Manufacturing</t>
  </si>
  <si>
    <t>Ships and ship repair</t>
  </si>
  <si>
    <t>Ship building and repairing'. This U.S. industry comprises establishments primarily engaged in operating a shipyard. Shipyards are fixed facilities with drydocks and fabrication equipment capable of building a ship, defined as watercraft typically suitable or intended for other than personal or recreational use. Activities of shipyards include the construction of ships, their repair, conversion and alteration, the production of prefabricated ship and barge sections, and specialized services, such as ship scaling.</t>
  </si>
  <si>
    <t>3366: Ship and Boat Building</t>
  </si>
  <si>
    <t>Boats</t>
  </si>
  <si>
    <t>Motorcycle, bicycle, and parts</t>
  </si>
  <si>
    <t>Motorcycle, bicycle, and parts manufacturing'. This U.S. industry comprises establishments primarily engaged in manufacturing motorcycles, bicycles, tricycles and similar equipment, and parts.</t>
  </si>
  <si>
    <t>3369: Other Transportation Equipment Manufacturing</t>
  </si>
  <si>
    <t>Military armored vehicles and tanks</t>
  </si>
  <si>
    <t>Other transportation equipment</t>
  </si>
  <si>
    <t>Wood kitchen cabinets and countertops</t>
  </si>
  <si>
    <t>Wood kitchen cabinet and countertop manufacturing'. This industry comprises establishments primarily engaged in manufacturing wood or plastics laminated on wood kitchen cabinets, bathroom vanities, and countertops (except freestanding). The cabinets and counters may be made on a stock or custom basis.</t>
  </si>
  <si>
    <t>3371: Household and Institutional Furniture and Kitchen Cabinet Manufacturing</t>
  </si>
  <si>
    <t>Home furniture - upholstered</t>
  </si>
  <si>
    <t>Home furniture - wood, nonupholstered</t>
  </si>
  <si>
    <t>Home furniture - Cabinets and non-wood, nonupholstered</t>
  </si>
  <si>
    <t>33712N</t>
  </si>
  <si>
    <t>Institutional furniture</t>
  </si>
  <si>
    <t>Office furniture and custom architectural woodwork and millwork</t>
  </si>
  <si>
    <t>33721A</t>
  </si>
  <si>
    <t>3372: Office Furniture (including Fixtures) Manufacturing</t>
  </si>
  <si>
    <t>Shelving and lockers</t>
  </si>
  <si>
    <t xml:space="preserve">Showcase, partition, shelving, and locker manufacturing'. This industry comprises establishments primarily engaged in manufacturing office furniture and/or office and store fixtures. The furniture may be made on a stock or custom basis and may be assembled or unassembled (i.e., knockdown). </t>
  </si>
  <si>
    <t>Mattresses, blinds and shades</t>
  </si>
  <si>
    <t>Other furniture related product manufacturing'. This industry group comprises establishments manufacturing furniture related products, such as mattresses, blinds, and shades.</t>
  </si>
  <si>
    <t>3379: Other Furniture Related Product Manufacturing</t>
  </si>
  <si>
    <t>Surgical and medical instruments</t>
  </si>
  <si>
    <t>Surgical and medical instrument manufacturing'. This U.S. industry comprises establishments primarily engaged in manufacturing medical, surgical, ophthalmic, and veterinary instruments and apparatus (except electrotherapeutic, electromedical and irradiation apparatus). Examples of products made by these establishments are syringes, hypodermic needles, anesthesia apparatus, blood transfusion equipment, catheters, surgical clamps, and medical thermometers.</t>
  </si>
  <si>
    <t>3391: Medical Equipment and Supplies Manufacturing</t>
  </si>
  <si>
    <t>Surgical appliance and supplies</t>
  </si>
  <si>
    <t>Dental equipment and supplies</t>
  </si>
  <si>
    <t>Ophthalmic goods</t>
  </si>
  <si>
    <t>Dental laboratories</t>
  </si>
  <si>
    <t>Jewelry and silverware</t>
  </si>
  <si>
    <t>Jewelry and silverware manufacturing'. This industry comprises establishments primarily engaged in one or more of the following (1) manufacturing, engraving, chasing, or etching jewelry; (2) manufacturing metal personal goods (i.e., small articles carried on or about the person, such as compacts or cigarette cases); (3) manufacturing, engraving, chasing, or etching precious metal solid, precious metal clad, or pewter cutlery and flatware; (4) manufacturing, engraving, chasing, or etching personal metal goods (i.e., small articles carried on or about the person, such as compacts or cigarette cases); (5) stamping coins; (6) manufacturing unassembled jewelry parts and stock shop products, such as sheet, wire, and tubing; (7) cutting, slabbing, tumbling, carving, engraving, polishing, or faceting precious or semiprecious stones and gems; (8) recutting, repolishing, and setting gem stones; and (9) drilling, sawing, and peeling cultured and costume pearls.</t>
  </si>
  <si>
    <t>3399: Other Miscellaneous Manufacturing</t>
  </si>
  <si>
    <t>Sporting and athletic goods</t>
  </si>
  <si>
    <t>Dolls, toys, and games</t>
  </si>
  <si>
    <t>Office supplies (not paper)</t>
  </si>
  <si>
    <t>Signs</t>
  </si>
  <si>
    <t>Gaskets, seals, musical instruments, fasteners, brooms, brushes, mop and other misc. goods</t>
  </si>
  <si>
    <t>Motor vehicle and motor vehicle parts and supplies</t>
  </si>
  <si>
    <t>Motor vehicle and motor vehicle parts and supplies'. This industry group comprises establishments primarily engaged in the merchant wholesale distribution of automobiles and other motor vehicles, motor vehicle supplies, tires, and new and used parts.</t>
  </si>
  <si>
    <t>42: Wholesale Trade</t>
  </si>
  <si>
    <t>4231: Motor Vehicle and Motor Vehicle Parts and Supplies Merchant Wholesalers</t>
  </si>
  <si>
    <t>Other durable goods merchant wholesalers</t>
  </si>
  <si>
    <t>423A00</t>
  </si>
  <si>
    <t>Professional and commercial equipment and supplies</t>
  </si>
  <si>
    <t>Professional and commercial equipment and supplies'. This industry group comprises establishments primarily engaged in the merchant wholesale distribution of photographic equipment and supplies; office, computer, and computer peripheral equipment; and medical, dental, hospital, ophthalmic, and other commercial and professional equipment and supplies.</t>
  </si>
  <si>
    <t>4234: Professional and Commercial Equipment and Supplies Merchant Wholesalers</t>
  </si>
  <si>
    <t>Household appliances and electrical and electronic goods</t>
  </si>
  <si>
    <t>Household appliances and electrical and electronic goods'. This industry comprises establishments primarily engaged in the merchant wholesale distribution of electrical construction materials; wiring supplies; electric light fixtures; light bulbs; and/or electrical power equipment for the generation, transmission, distribution, or control of electric energy.</t>
  </si>
  <si>
    <t>4236: Household Appliances and Electrical and Electronic Goods Merchant Wholesalers</t>
  </si>
  <si>
    <t>Machinery, equipment, and supplies</t>
  </si>
  <si>
    <t>Machinery, equipment, and supplies'. This industry group comprises establishments primarily engaged in the merchant wholesale distribution of construction, mining, farm, garden, industrial, service establishment, and transportation machinery, equipment and supplies.</t>
  </si>
  <si>
    <t>4238: Machinery, Equipment, and Supplies Merchant Wholesalers</t>
  </si>
  <si>
    <t>Other nondurable goods merchant wholesalers</t>
  </si>
  <si>
    <t>424A00</t>
  </si>
  <si>
    <t>Drugs and druggists sundries</t>
  </si>
  <si>
    <t>Drugs and druggists sundries'. This industry comprises establishments primarily engaged in the merchant wholesale distribution of biological and medical products; botanical drugs and herbs; and pharmaceutical products intended for internal and external consumption in such forms as ampoules, tablets, capsules, vials, ointments, powders, solutions, and suspensions.</t>
  </si>
  <si>
    <t>4242: Drugs and Druggists Sundries Merchant Wholesalers</t>
  </si>
  <si>
    <t>Grocery and related product wholesalers</t>
  </si>
  <si>
    <t>Grocery and related product wholesalers'. This industry comprises establishments primarily engaged in (1) the merchant wholesale distribution of a general line (wide range) of groceries, packaged frozen foods, dairy products, poultry and/or poultry products, confectioneries; salted or roasted nuts; popcorn; potato, corn, and similar chips; and/or fountain fruits and syrups, fish and seafood, meats and meat products and/or lard, fresh fruits and vegetables, and the bottling and merchant wholesale distribution of spring and mineral waters processed by others.</t>
  </si>
  <si>
    <t>4244: Grocery and Related Product Merchant Wholesalers</t>
  </si>
  <si>
    <t>Petroleum and petroleum products</t>
  </si>
  <si>
    <t>Petroleum and petroleum products'.  This industry comprises establishm ents with bulk and non-bulk liquid storage facilities primarily engaged in the merchant wholesale distribution of crude petroleum and petroleum products, including liquefied petroleum gas.</t>
  </si>
  <si>
    <t>4247: Petroleum and Petroleum Products Merchant Wholesalers</t>
  </si>
  <si>
    <t>Wholesale electronic markets and agents and brokers</t>
  </si>
  <si>
    <t>Wholesale electronic markets and agents and brokers'. Industries in the Wholesale Electronic Markets and Agents and Brokers subsector arrange for the sale of goods owned by others, generally on a fee or commission basis. They act on behalf of the buyers and sellers of goods. This subsector contains agents and brokers as well as business to business electronic markets that facilitate wholesale trade.</t>
  </si>
  <si>
    <t>4251: Wholesale Electronic Markets and Agents and Brokers</t>
  </si>
  <si>
    <t>Vehicles and parts sales</t>
  </si>
  <si>
    <t>Motor vehicle and parts dealers'. Industries in the Motor Vehicle and Parts Dealers subsector retail motor vehicles and parts from fixed point-of-sale locations. Establishments in this subsector typically operate from a showroom and/or an open lot where the vehicles are on display. The display of vehicles and the related parts require little by way of display equipment. The personnel generally include both the sales and sales support staff familiar with the requirements for registering and financing a vehicle as well as a staff of parts experts and mechanics trained to provide repair and maintenance services for the vehicles. Specific industries have been included in this subsector to identify the type of vehicle being retailed. Sales of capital or durable nonconsumer goods, such as medium and heavy-duty trucks, are always included in wholesale trade. These goods are virtually never sold through retail methods.</t>
  </si>
  <si>
    <t>44-45: Retail Trade</t>
  </si>
  <si>
    <t>4411: Automobile Dealers</t>
  </si>
  <si>
    <t>Other retail</t>
  </si>
  <si>
    <t>4B0000</t>
  </si>
  <si>
    <t>Building material and garden equipment and supplies dealers</t>
  </si>
  <si>
    <t>4441: Building Material and Supplies Dealers</t>
  </si>
  <si>
    <t>Food and beverage stores</t>
  </si>
  <si>
    <t>Food and beverage stores'. Industries in the Food and Beverage Stores subsector usually retail food and beverages merchandise from fixed point-of-sale locations. Establishments in this subsector have special equipment (e.g., freezers, refrigerated display cases, refrigerators) for displaying food and beverage goods. They have staff trained in the processing of food products to guarantee the proper storage and sanitary conditions required by regulatory authority.</t>
  </si>
  <si>
    <t>4451: Grocery Stores</t>
  </si>
  <si>
    <t>Health and personal care stores</t>
  </si>
  <si>
    <t>4461: Health and Personal Care Stores</t>
  </si>
  <si>
    <t>Gasoline stations</t>
  </si>
  <si>
    <t>4471: Gasoline Stations</t>
  </si>
  <si>
    <t>Clothing and clothing accessories stores</t>
  </si>
  <si>
    <t>4481: Clothing Stores</t>
  </si>
  <si>
    <t>General merchandise stores</t>
  </si>
  <si>
    <t>General merchandise stores. Industries in the General Merchandise Stores subsector retail new general merchandise from fixed pointof- sale locations. Establishments in this subsector are unique in that they have the equipment and staff capable of retailing a large variety of goods from a single location. This includes a variety of display equipment and staff trained to provide information on many lines of products.</t>
  </si>
  <si>
    <t>4523: General Merchandise Stores, including Warehouse Clubs and Supercenters</t>
  </si>
  <si>
    <t>Nonstore retailers</t>
  </si>
  <si>
    <t>4541: Electronic Shopping and Mail-Order Houses</t>
  </si>
  <si>
    <t>Newspapers</t>
  </si>
  <si>
    <t>Newspaper publishers'. This industry comprises establishments known as newspaper publishers. Establishments in this industry carry out operations necessary for producing and distributing newspapers, including gathering news; writing news columns, feature stories, and editorials; and selling and preparing advertisements. These establishments may publish newspapers in print or electronic form.</t>
  </si>
  <si>
    <t>51: Information</t>
  </si>
  <si>
    <t>5111: Newspaper, Periodical, Book, and Directory Publishers</t>
  </si>
  <si>
    <t>Magazines and journals</t>
  </si>
  <si>
    <t>Books</t>
  </si>
  <si>
    <t>Directory, mailing list, and other publishers</t>
  </si>
  <si>
    <t>5111A0</t>
  </si>
  <si>
    <t>Software</t>
  </si>
  <si>
    <t xml:space="preserve">Software publishers'. This industry comprises establishments primarily engaged in computer software publishing or publishing and reproduction. Establishments in this industry carry out operations necessary for producing and distributing computer software, such as designing, providing documentation, assisting in installation, and providing support services to software purchasers. These establishments may design, develop, and publish, or publish only. </t>
  </si>
  <si>
    <t>5112: Software Publishers</t>
  </si>
  <si>
    <t>Movies and film</t>
  </si>
  <si>
    <t>Motion picture and video industries'. Publishing establishments may create the works in-house, contract for, purchase, or compile works that were originally created by others. These works may be published in one or more formats, such as print and/or electronic form, including proprietary electronic networks. Establishments in this industry may print, reproduce, or offer direct access to the works themselves or may arrange with others to carry out such functions.Ã‚Â </t>
  </si>
  <si>
    <t>5121: Motion Picture and Video Industries</t>
  </si>
  <si>
    <t>Sound recording</t>
  </si>
  <si>
    <t>Sound recording industries'. This industry group comprises establishments primarily engaged in producing and distributing musical recordings, in publishing music, or in providing sound recording and related services.</t>
  </si>
  <si>
    <t>5122: Sound Recording Industries</t>
  </si>
  <si>
    <t>Radio and television</t>
  </si>
  <si>
    <t>Radio and television broadcasting'. Establishments that both print and publish may fill excess capacity with commercial or job printing. However, the publishing activity is still considered to be the primary activity of these establishments.</t>
  </si>
  <si>
    <t>5151: Radio and Television Broadcasting</t>
  </si>
  <si>
    <t>Cable and subscription programming</t>
  </si>
  <si>
    <t>Cable and other subscription programming'. This industry comprises establishments primarily engaged in operating studios and facilities for the broadcasting of programs on a subscription or fee basis. The broadcast programming is typically narrowcast in nature (e.g., limited format, such as news, sports, education, or youth-oriented). These establishments produce programming in their own facilities or acquire programming from external sources. The programming material is usually delivered to a third party, such as cable systems or direct-to-home satellite systems, for transmission to viewers.</t>
  </si>
  <si>
    <t>5152: Cable and Other Subscription Programming</t>
  </si>
  <si>
    <t>Wired telecommunications carriers'. This industry comprises establishments primarily engaged in operating and/or providing access to transmission facilities and infrastructure that they own and/or lease for the transmission of voice, data, text, sound, and video using wired telecommunications networks. Transmission facilities may be based on a single technology or a combination of technologies. Establishments in this industry use the wired telecommunications network facilities that they operate to provide a variety of services, such as wired telephony services, including VoIP services; wired (cable) audio and video programming distribution; and wired broadband Internet services. By exception, establishments providing satellite television distribution services using facilities and infrastructure that they operate are included in this industry.</t>
  </si>
  <si>
    <t>5171: Wired Telecommunications Carriers</t>
  </si>
  <si>
    <t>Wireless telecommunications</t>
  </si>
  <si>
    <t>Wireless telecommunications carriers (except satellite)'. This industry comprises establishments engaged in operating and maintaining switching and transmission facilities to provide communications via the airwaves. Establishments in this industry have spectrum licenses and provide services using that spectrum, such as cellular phone services, paging services, wireless Internet access, and wireless video services.</t>
  </si>
  <si>
    <t>5172: Wireless Telecommunications Carriers (except Satellite)</t>
  </si>
  <si>
    <t>Satellite, telecommunications resellers, and all other telecommunications</t>
  </si>
  <si>
    <t>517A00</t>
  </si>
  <si>
    <t>5179: Other Telecommunications</t>
  </si>
  <si>
    <t>Data processing and hosting</t>
  </si>
  <si>
    <t>Data processing, hosting, and related services'. Establishments primarily engaged as independent contractors in the installation and maintenance of broadcasting and telecommunications systems are classified in Sector 23, Construction. Establishments known as Internet cafes, primarily engaged in offering limited Internet connectivity in combination with other services such as facsimile services, training, rental of on-site personal computers, game rooms, or food services are classified in Subsector 561, Administrative and Support Services, or Subsector 722, Food Services and Drinking Places, depending on the primary activity.</t>
  </si>
  <si>
    <t>5182: Data Processing, Hosting, and Related Services</t>
  </si>
  <si>
    <t>News syndicates, libraries, archives, Internet publishing and all other information services</t>
  </si>
  <si>
    <t>5191A0</t>
  </si>
  <si>
    <t>5191: Other Information Services</t>
  </si>
  <si>
    <t>Internet publishing and broadcasting</t>
  </si>
  <si>
    <t>Internet publishing and broadcasting and Web search portals'. This industry comprises establishments primarily engaged in 1) publishing and/or broadcasting content on the Internet exclusively or 2) operating Web sites that use a search engine to generate and maintain extensive databases of Internet addresses and content in an easily searchable format (and known as Web search portals). The publishing and broadcasting establishments in this industry do not provide traditional (non-Internet) versions of the content that they publish or broadcast. They provide textual, audio, and/or video content of general or specific interest on the Internet exclusively. Establishments known as Web search portals often provide additional Internet services, such as e-mail, connections to other web sites, auctions, news, and other limited content, and serve as a home base for Internet users.</t>
  </si>
  <si>
    <t>Monetary authorities and depository credit intermediation</t>
  </si>
  <si>
    <t>52A000</t>
  </si>
  <si>
    <t>52: Finance and Insurance</t>
  </si>
  <si>
    <t>5211: Monetary Authorities-Central Bank</t>
  </si>
  <si>
    <t>Nondepository credit intermediation and related activities</t>
  </si>
  <si>
    <t>522A00</t>
  </si>
  <si>
    <t>5222: Nondepository Credit Intermediation</t>
  </si>
  <si>
    <t>Securities and commodities brokerage and exchanges</t>
  </si>
  <si>
    <t>523A00</t>
  </si>
  <si>
    <t>5231: Securities and Commodity Contracts Intermediation and Brokerage</t>
  </si>
  <si>
    <t>Investment advice, portfolio management, and other financial advising services</t>
  </si>
  <si>
    <t>Other financial investment activities'. This industry group comprises establishments primarily engaged in one of the following (1) acting as principals in buying or selling financial contracts (except investment bankers, securities dealers, and commodity contracts dealers); (2) acting as agents (i.e., brokers) (except securities brokerages and commodity contracts brokerages) in buying or selling financial contracts; or (3) providing other investment services (except securities and commodity exchanges), such as portfolio management; investment advice; and trust, fiduciary, and custody services.</t>
  </si>
  <si>
    <t>5239: Other Financial Investment Activities</t>
  </si>
  <si>
    <t>Direct life insurance carriers</t>
  </si>
  <si>
    <t>Insurance carriers, except direct life</t>
  </si>
  <si>
    <t>5241XX</t>
  </si>
  <si>
    <t>5241: Insurance Carriers</t>
  </si>
  <si>
    <t>Insurance agencies and brokerages</t>
  </si>
  <si>
    <t>Insurance agencies, brokerages, and related activities'. This industry group comprises establishments primarily engaged in (1) acting as agents (i.e., brokers) in selling annuities and insurance policies or (2) providing other employee benefits and insurance related services, such as claims adjustment and third party administration.</t>
  </si>
  <si>
    <t>5242: Agencies, Brokerages, and Other Insurance Related Activities</t>
  </si>
  <si>
    <t>Funds, trusts, and financial vehicles</t>
  </si>
  <si>
    <t>Funds, trusts, and other financial vehicles'. Industries in the Funds, Trusts, and Other Financial Vehicles subsector are comprised of legal entities (i.e., funds, plans, and/or programs) organized to pool securities or other assets on behalf of shareholders or beneficiaries of employee benefit or other trust funds. The portfolios are customized to achieve specific investment characteristics, such as diversification, risk, rate of return, and price volatility. These entities earn interest, dividends, and other investment income, but have little or no employment and no revenue from the sale of services. Establishments with employees devoted to the management of funds are classified in Industry Group 5239, Other Financial Investment Activities. Establishments primarily engaged in holding the securities of (or other equity interests in) other firms are classified in Sector 55, Management of Companies and Enterprises. Equity Real Estate Investment Trusts (REITs) that are primarily engaged in leasing buildings, dwellings, or other real estate property to others are classified in Subsector 531, Real Estate.</t>
  </si>
  <si>
    <t>5251: Insurance and Employee Benefit Funds</t>
  </si>
  <si>
    <t>531HSO,531HST</t>
  </si>
  <si>
    <t>53: Real Estate and Rental and Leasing</t>
  </si>
  <si>
    <t>Other real estate</t>
  </si>
  <si>
    <t>531ORE</t>
  </si>
  <si>
    <t>Vehicle rental and leasing</t>
  </si>
  <si>
    <t>Automotive equipment rental and leasing'. This industry group comprises establishments primarily engaged in renting or leasing the following types of vehicles passenger cars and trucks without drivers, and utility trailers. These establishments generally operate from a retail-like facility. Some establishments offer only short-term rental, others only longerterm leases, and some provide both types of services.</t>
  </si>
  <si>
    <t>5321: Automotive Equipment Rental and Leasing</t>
  </si>
  <si>
    <t>Consumer goods and general rental centers</t>
  </si>
  <si>
    <t>532A00</t>
  </si>
  <si>
    <t>5322: Consumer Goods Rental</t>
  </si>
  <si>
    <t>Commercial equipment rental</t>
  </si>
  <si>
    <t>5324: Commercial and Industrial Machinery and Equipment Rental and Leasing</t>
  </si>
  <si>
    <t>Lessors of nonfinancial intangible assets</t>
  </si>
  <si>
    <t>Lessors of nonfinancial intangible assets'. Industries in the Lessors of Nonfinancial Intangible Assets (except Copyrighted Works) subsector include establishments that are primarily engaged in assigning rights to assets, such as patents, trademarks, brand names, and/or franchise agreements for which a royalty payment or licensing fee is paid to the asset holder. Establishments in this subsector own the patents, trademarks, and/or franchise agreements that they allow others to use or reproduce for a fee and may or may not have created those assets. Establishments that allow franchisees the use of the franchise name, contingent on the franchisee buying products or services from the franchisor, are classified elsewhere. Excluded from this subsector are establishments primarily engaged in leasing real property and establishments primarily engaged in leasing tangible assets, such as automobiles, computers, consumer goods, and industrial machinery and equipment. These establishments are classified in Subsector 531, Real Estate and Subsector 532, Rental and Leasing Services, respectively.</t>
  </si>
  <si>
    <t>5331: Lessors of Nonfinancial Intangible Assets (except Copyrighted Works)</t>
  </si>
  <si>
    <t>Legal services</t>
  </si>
  <si>
    <t>Legal services'. This industry group comprises (1) Offices of Lawyers, (2) Offices of Notaries, and (3) Other Legal Services including  (a) Title Abstract and Settlement Offices, and (b) All Other Legal Services.</t>
  </si>
  <si>
    <t>54: Professional, Scientific, and Technical Services</t>
  </si>
  <si>
    <t>5411: Legal Services</t>
  </si>
  <si>
    <t>Accounting, tax preparation, bookkeeping, and payroll</t>
  </si>
  <si>
    <t>Accounting, tax preparation, bookkeeping, and payroll services'. This industry comprises establishments primarily engaged in providing services, such as auditing of accounting records, designing accounting systems, preparing financial statements, developing budgets, preparing tax returns, processing payrolls, bookkeeping, and billing.</t>
  </si>
  <si>
    <t>5412: Accounting, Tax Preparation, Bookkeeping, and Payroll Services</t>
  </si>
  <si>
    <t>Architectural, engineering, and related services</t>
  </si>
  <si>
    <t>Architectural, engineering, and related services'. This industry group comprises (1) Architectural Services, (2) Landscape Architectural Services, (3) Engineering Services, (4) Drafting Services, (5) Building Inspection Services, (6) Geophysical Surveying and Mapping Services, (7) Surveying and Mapping (except Geophysical) Services, and (8) Testing Laboratories.</t>
  </si>
  <si>
    <t>5413: Architectural, Engineering, and Related Services</t>
  </si>
  <si>
    <t>Specialized design</t>
  </si>
  <si>
    <t>Specialized design services'. This industry group comprises establishments providing specialized design services (except architectural, engineering, and computer systems design).</t>
  </si>
  <si>
    <t>5414: Specialized Design Services</t>
  </si>
  <si>
    <t>Custom computer programming</t>
  </si>
  <si>
    <t>Custom computer programming services'. This U.S. industry comprises establishments primarily engaged in writing, modifying, testing, and supporting software to meet the needs of a particular customer.</t>
  </si>
  <si>
    <t>5415: Computer Systems Design and Related Services</t>
  </si>
  <si>
    <t>Computer systems design</t>
  </si>
  <si>
    <t>Other computer related services, including facilities management</t>
  </si>
  <si>
    <t>Management consulting</t>
  </si>
  <si>
    <t>Environmental and other technical consulting services</t>
  </si>
  <si>
    <t>Advertising and public relations</t>
  </si>
  <si>
    <t>Marketing research and all other miscellaneous professional, scientific, and technical services</t>
  </si>
  <si>
    <t>Photographers</t>
  </si>
  <si>
    <t>Veterinarians</t>
  </si>
  <si>
    <t>Company and enterprise management</t>
  </si>
  <si>
    <t>Office administration</t>
  </si>
  <si>
    <t>Office administrative services'. This industry comprises establishments primarily engaged in providing a range of day-to-day office administrative services, such as financial planning; billing and recordkeeping; personnel; and physical distribution and logistics for others on a contract or fee basis. These establishments do not provide operating staff to carry out the complete operations of a business.</t>
  </si>
  <si>
    <t>56: Administrative and Support and Waste Management and Remediation Services</t>
  </si>
  <si>
    <t>5611: Office Administrative Services</t>
  </si>
  <si>
    <t>Facilities support</t>
  </si>
  <si>
    <t>Facilities support services'. This industry comprises establishments primarily engaged in providing operating staff to perform a combination of support services within a client's facilities. Establishments in this industry typically provide a combination of services, such as janitorial, maintenance, trash disposal, guard and security, mail routing, reception, laundry, and related services to support operations within facilities. These establishments provide operating staff to carry out these support activities; but are not involved with or responsible for the core business or activities of the client. Establishments providing facilities (except computer and/or data processing) operation support services and establishments providing private jail services or operating correctional facilities (i.e., jails) on a contract or fee basis are included in this industry.</t>
  </si>
  <si>
    <t>5612: Facilities Support Services</t>
  </si>
  <si>
    <t>Employment services</t>
  </si>
  <si>
    <t>Employment services'. This industry group comprises (1) Employment Placement Agencies and Executive Search Services, (2) Temporary Help Services, and (3) Professional Employer Organizations.</t>
  </si>
  <si>
    <t>5613: Employment Services</t>
  </si>
  <si>
    <t>Business support</t>
  </si>
  <si>
    <t>Business support services. This industry group comprises establishments engaged in performing activities that are ongoing routine business support functions that businesses and organizations traditionally do for themselves.</t>
  </si>
  <si>
    <t>5614: Business Support Services</t>
  </si>
  <si>
    <t>Travel arrangement and reservation services'. This industry group comprises (1) Travel Agencies, (2) Tour Operators, and (3) Other Travel Arrangement and Reservation Services including  (a) Convention and Visitors Bureaus, and (b) All Other Travel Arrangement and Reservation Services.</t>
  </si>
  <si>
    <t>5615: Travel Arrangement and Reservation Services</t>
  </si>
  <si>
    <t>Investigation and security</t>
  </si>
  <si>
    <t>Investigation and security services'. This industry group comprises (1) Investigation, Guard, and Armored Car Services, and (2) Security Systems Services.</t>
  </si>
  <si>
    <t>5616: Investigation and Security Services</t>
  </si>
  <si>
    <t>Buildings and dwellings services</t>
  </si>
  <si>
    <t>Services to buildings and dwellings'. This industry group comprises (1) Exterminating and Pest Control Services, (2) Janitorial Services, (3) Landscaping Services, (4) Carpet and Upholstery Cleaning Services, and (5) Other Services to Buildings and Dwellings.</t>
  </si>
  <si>
    <t>5617: Services to Buildings and Dwellings</t>
  </si>
  <si>
    <t>Other support services</t>
  </si>
  <si>
    <t>Other support services. This industry group comprises establishments primarily engaged in providing day-to-day business and other organizational support services (except office administrative services; facilities support services; employment services; business support services; travel arrangement and reservation services; security and investigation services; and services to buildings and dwellings).</t>
  </si>
  <si>
    <t>5619: Other Support Services</t>
  </si>
  <si>
    <t>Elementary and secondary schools</t>
  </si>
  <si>
    <t>Elementary and secondary schools. This industry comprises establishments primarily engaged in furnishing academic courses and associated course work that comprise a basic preparatory education. A basic preparatory education ordinarily constitutes kindergarten through 12th grade. This industry includes school boards and school districts.</t>
  </si>
  <si>
    <t>61: Educational Services</t>
  </si>
  <si>
    <t>6111: Elementary and Secondary Schools</t>
  </si>
  <si>
    <t>Colleges, universities, junior colleges, and professional schools</t>
  </si>
  <si>
    <t>611A00</t>
  </si>
  <si>
    <t>Other educational services</t>
  </si>
  <si>
    <t>611B00</t>
  </si>
  <si>
    <t>Physicians</t>
  </si>
  <si>
    <t>Offices of physicians'. This industry comprises establishments of health practitioners having the degree of M.D. (Doctor of Medicine) or D.O. (Doctor of Osteopathy) primarily engaged in the independent practice of general or specialized medicine (e.g., anesthesiology, oncology, ophthalmology, psychiatry) or surgery. These practitioners operate private or group practices in their own offices (e.g., centers, clinics) or in the facilities of others, such as hospitals or HMO medical centers.</t>
  </si>
  <si>
    <t>62: Health Care and Social Assistance</t>
  </si>
  <si>
    <t>6211: Offices of Physicians</t>
  </si>
  <si>
    <t>Dentists</t>
  </si>
  <si>
    <t>Offices of dentists'. This industry comprises establishments of health practitioners having the degree of D.M.D. (Doctor of Dental Medicine), D.D.S. (Doctor of Dental Surgery), or D.D.Sc. (Doctor of Dental Science) primarily engaged in the independent practice of general or specialized dentistry or dental surgery. These practitioners operate private or group practices in their own offices (e.g., centers, clinics) or in the facilities of others, such as hospitals or HMO medical centers. They can provide either comprehensive preventive, cosmetic, or emergency care, or specialize in a single field of dentistry.</t>
  </si>
  <si>
    <t>6212: Offices of Dentists</t>
  </si>
  <si>
    <t>Healthcare practitioners (except physicians and dentists)</t>
  </si>
  <si>
    <t>Offices of other health practitioners. This industry group comprises establishments of independent health practitioners (except physicians and dentists).</t>
  </si>
  <si>
    <t>6213: Offices of Other Health Practitioners</t>
  </si>
  <si>
    <t>Outpatient healthcare</t>
  </si>
  <si>
    <t>Outpatient care centers'. This industry group comprises (1) Family Planning Centers, (2) Outpatient Mental Health and Substance Abuse Centers, and (3) Other Outpatient Care Centers including  (a) HMO Medical Centers, (b) Kidney Dialysis Centers, (c) Freestanding Ambulatory Surgical and Emergency Centers, and (d) All Other Outpatient Care Centers.</t>
  </si>
  <si>
    <t>6214: Outpatient Care Centers</t>
  </si>
  <si>
    <t>Medical laboratories</t>
  </si>
  <si>
    <t>6215: Medical and Diagnostic Laboratories</t>
  </si>
  <si>
    <t>Home healthcare</t>
  </si>
  <si>
    <t>6216: Home Health Care Services</t>
  </si>
  <si>
    <t>Ambulances</t>
  </si>
  <si>
    <t>6219: Other Ambulatory Health Care Services</t>
  </si>
  <si>
    <t>Hospitals</t>
  </si>
  <si>
    <t>6221: General Medical and Surgical Hospitals</t>
  </si>
  <si>
    <t>Nursing and community care facilities</t>
  </si>
  <si>
    <t>623A00</t>
  </si>
  <si>
    <t>6231: Nursing Care Facilities (Skilled Nursing Facilities)</t>
  </si>
  <si>
    <t>Residential mental retardation, mental health, substance abuse and other facilities</t>
  </si>
  <si>
    <t>623B00</t>
  </si>
  <si>
    <t>6232: Residential Intellectual and Developmental Disability, Mental Health, and Substance Abuse Facilities</t>
  </si>
  <si>
    <t>Individual and family services</t>
  </si>
  <si>
    <t>6241: Individual and Family Services</t>
  </si>
  <si>
    <t>Community food, housing, and other relief services, including rehabilitation services</t>
  </si>
  <si>
    <t>624A00</t>
  </si>
  <si>
    <t>6242: Community Food and Housing, and Emergency and Other Relief Services</t>
  </si>
  <si>
    <t>Child day care</t>
  </si>
  <si>
    <t>6244: Child Day Care Services</t>
  </si>
  <si>
    <t>Performances</t>
  </si>
  <si>
    <t>71: Arts, Entertainment, and Recreation</t>
  </si>
  <si>
    <t>7111: Performing Arts Companies</t>
  </si>
  <si>
    <t>7112: Spectator Sports</t>
  </si>
  <si>
    <t>Promoters and agents</t>
  </si>
  <si>
    <t>711A00</t>
  </si>
  <si>
    <t>7113: Promoters of Performing Arts, Sports, and Similar Events</t>
  </si>
  <si>
    <t>Independent artists, writers, and performers</t>
  </si>
  <si>
    <t>7115: Independent Artists, Writers, and Performers</t>
  </si>
  <si>
    <t>Museums, historical sites, zoos, and parks</t>
  </si>
  <si>
    <t>7121: Museums, Historical Sites, and Similar Institutions</t>
  </si>
  <si>
    <t>Amusement parks and arcades</t>
  </si>
  <si>
    <t>7131: Amusement Parks and Arcades</t>
  </si>
  <si>
    <t>Gambling establishments (except casino hotels)</t>
  </si>
  <si>
    <t>7132: Gambling Industries</t>
  </si>
  <si>
    <t>Golf courses, marinas, ski resorts, fitness and other rec centers and industries</t>
  </si>
  <si>
    <t>7139: Other Amusement and Recreation Industries</t>
  </si>
  <si>
    <t>Hotels and campgrounds</t>
  </si>
  <si>
    <t>72: Accommodation and Food Services</t>
  </si>
  <si>
    <t>7211: Traveler Accommodation</t>
  </si>
  <si>
    <t>All other food and drinking places</t>
  </si>
  <si>
    <t>722A00</t>
  </si>
  <si>
    <t>7223: Special Food Services</t>
  </si>
  <si>
    <t>Full-service restaurants</t>
  </si>
  <si>
    <t>7225: Restaurants and Other Eating Places</t>
  </si>
  <si>
    <t>Limited-service restaurants</t>
  </si>
  <si>
    <t>Vehicle repair</t>
  </si>
  <si>
    <t>Automotive repair and maintenance'. This industry group comprises establishments involved in providing repair and maintenance services for automotive vehicles, such as passenger cars, trucks, and vans, and all trailers. Establishments in this industry group employ mechanics with specialized technical skills to diagnose and repair the mechanical and electrical systems for automotive vehicles, repair automotive interiors, and paint or repair automotive exteriors.</t>
  </si>
  <si>
    <t>81: Other Services (except Public Administration)</t>
  </si>
  <si>
    <t>8111: Automotive Repair and Maintenance</t>
  </si>
  <si>
    <t>Electronic  equipment repair and maintenance</t>
  </si>
  <si>
    <t>Electronic and precision equipment repair and maintenance'. This industry group comprises establishments primarily engaged in repairing electronic equipment, such as computers and communications equipment, and highly specialized precision instruments. Establishments in this industry group typically have staff skilled in repairing items having complex, electronic components.</t>
  </si>
  <si>
    <t>8112: Electronic and Precision Equipment Repair and Maintenance</t>
  </si>
  <si>
    <t>Commercial machinery repair</t>
  </si>
  <si>
    <t>8113: Commercial and Industrial Machinery and Equipment (except Automotive and Electronic) Repair and Maintenance</t>
  </si>
  <si>
    <t>Household goods repair</t>
  </si>
  <si>
    <t>8114: Personal and Household Goods Repair and Maintenance</t>
  </si>
  <si>
    <t>Salons and barber shops</t>
  </si>
  <si>
    <t>8121: Personal Care Services</t>
  </si>
  <si>
    <t>Funerary services</t>
  </si>
  <si>
    <t>8122: Death Care Services</t>
  </si>
  <si>
    <t>Dry-cleaning and laundry</t>
  </si>
  <si>
    <t>8123: Drycleaning and Laundry Services</t>
  </si>
  <si>
    <t>Pet care, photofinishing, parking and other sundry services</t>
  </si>
  <si>
    <t>8129: Other Personal Services</t>
  </si>
  <si>
    <t>Religious organizations</t>
  </si>
  <si>
    <t>8131: Religious Organizations</t>
  </si>
  <si>
    <t>Grantmaking, giving, and social advocacy organizations</t>
  </si>
  <si>
    <t>813A00</t>
  </si>
  <si>
    <t>8132: Grantmaking and Giving Services</t>
  </si>
  <si>
    <t>Civic, social, professional, and similar organizations</t>
  </si>
  <si>
    <t>813B00</t>
  </si>
  <si>
    <t>8134: Civic and Social Organizations</t>
  </si>
  <si>
    <t>Changelog</t>
  </si>
  <si>
    <t>All notable changes to this tool will be documented below.</t>
  </si>
  <si>
    <r>
      <t>1.1.0</t>
    </r>
    <r>
      <rPr>
        <sz val="11"/>
        <color theme="1"/>
        <rFont val="Arial"/>
        <family val="2"/>
      </rPr>
      <t> - 2022-03-09</t>
    </r>
  </si>
  <si>
    <t>Fixed</t>
  </si>
  <si>
    <t>- Added missing table, Table 1, from Category 11 in Summary Table of Scope 3 Emissions.</t>
  </si>
  <si>
    <t>- Replaced the word 'upstream' with the word 'downstream' in the How-to-Guide Category 13 Overview.</t>
  </si>
  <si>
    <r>
      <rPr>
        <b/>
        <sz val="11"/>
        <color theme="1"/>
        <rFont val="Arial"/>
        <family val="2"/>
      </rPr>
      <t>1.2.0</t>
    </r>
    <r>
      <rPr>
        <sz val="11"/>
        <color theme="1"/>
        <rFont val="Arial"/>
        <family val="2"/>
      </rPr>
      <t xml:space="preserve"> - 2022</t>
    </r>
  </si>
  <si>
    <t>- Minor revisions to Cat 1 and 2 (reference to row 91 updated; column A item numbers fixed)</t>
  </si>
  <si>
    <t>- Minor revision to Cat 11 (field formatted to general)</t>
  </si>
  <si>
    <r>
      <rPr>
        <b/>
        <sz val="11"/>
        <color theme="1"/>
        <rFont val="Arial"/>
        <family val="2"/>
        <scheme val="minor"/>
      </rPr>
      <t>1.3.0</t>
    </r>
    <r>
      <rPr>
        <sz val="11"/>
        <color theme="1"/>
        <rFont val="Arial"/>
        <family val="2"/>
        <scheme val="minor"/>
      </rPr>
      <t xml:space="preserve"> - January 2023</t>
    </r>
  </si>
  <si>
    <t>- EF updates applied to EEIO factors for Categories 1, 2, 4, 6, 7, and 15. IEA T&amp;D loss factor used in Category 3 calculation updated. Waste, natural gas, and eGrid CCCL factors confirmed up-to-date.</t>
  </si>
  <si>
    <t>- Added custom sections to Categories 1, 2, 4, 5, 6, and 9.</t>
  </si>
  <si>
    <t>- Incorporated homeworking emissions (electricity only) in Category 7 calculations.</t>
  </si>
  <si>
    <t>- Added usage input sections for Categories 8 &amp; 13.</t>
  </si>
  <si>
    <t>- Added televisit emissions to Category 9, incorporated work-from-home emissions into current Category 7 calculations.</t>
  </si>
  <si>
    <r>
      <rPr>
        <b/>
        <sz val="11"/>
        <color theme="1"/>
        <rFont val="Arial"/>
        <family val="2"/>
        <scheme val="minor"/>
      </rPr>
      <t>1.4.0</t>
    </r>
    <r>
      <rPr>
        <sz val="11"/>
        <color theme="1"/>
        <rFont val="Arial"/>
        <family val="2"/>
        <scheme val="minor"/>
      </rPr>
      <t xml:space="preserve"> - November 2023</t>
    </r>
  </si>
  <si>
    <t>- 'inventory year and inflation' tab updated to calculate inflation from 2021, as USEEIO v1.2 is based on 2021 dollars</t>
  </si>
  <si>
    <r>
      <rPr>
        <b/>
        <sz val="11"/>
        <color theme="1"/>
        <rFont val="Arial"/>
        <family val="2"/>
        <scheme val="minor"/>
      </rPr>
      <t>2.0.0</t>
    </r>
    <r>
      <rPr>
        <sz val="11"/>
        <color theme="1"/>
        <rFont val="Arial"/>
        <family val="2"/>
        <scheme val="minor"/>
      </rPr>
      <t xml:space="preserve"> - March 2024</t>
    </r>
  </si>
  <si>
    <t>- Category 1, 2, 4, and 6 spend-based calculations all based on USEEIO v1.2 released January 2023.</t>
  </si>
  <si>
    <t>- Added distance-based calculations for air and land travel in Category 6, as well as hotel night stays.</t>
  </si>
  <si>
    <t>- Two dedicated custom input tabs now available for Categories 1 and 2, and for Categories 4, 5, 6, 7, and 15 when supply chain emissions data or other data is available.</t>
  </si>
  <si>
    <t>-Category 15 emission factor categories have changed to reflect EEIO commodity codes, based on USEEIO v1.2.3 industry factors, released January 2023.</t>
  </si>
  <si>
    <t>Scope 3 GHG Emissions Accounting Tool</t>
  </si>
  <si>
    <t>Introduction</t>
  </si>
  <si>
    <r>
      <t xml:space="preserve">This spreadsheet tool is designed to estimate annual emissions for Scope 3 categories relevant to the healthcare industry. The buttons below in the leftmost column will take the user to a calculation spreadsheet for each category, where users can input data and estimate emissions. Emissions estimates are based on either the "spend-based method" or the "average-data method", as detailed in The GHG Protocol's Technical Guidance for Calculating Scope 3 Emissions (https://ghgprotocol.org/scope-3-technical-calculation-guidance). An overview of each category is provided below, with additional details provided in each calculation tab (clicking on the category "button" in column B will navigate to it's respective calculation tab).  
</t>
    </r>
    <r>
      <rPr>
        <b/>
        <i/>
        <sz val="11"/>
        <color theme="1"/>
        <rFont val="Arial"/>
        <family val="2"/>
        <scheme val="minor"/>
      </rPr>
      <t xml:space="preserve">On several calculation tabs, example activity data is provided in the first row for illustrative purposes only, and is not included in totals.
</t>
    </r>
    <r>
      <rPr>
        <sz val="11"/>
        <color theme="1"/>
        <rFont val="Arial"/>
        <family val="2"/>
        <scheme val="minor"/>
      </rPr>
      <t xml:space="preserve">
Note, based on ENGIE Impact's evaluation of Scope 3 operations for several healthcare systems, the following categories are likely to represent only de minimis contribution to overall Scope 3 emissions and are therefore excluded from this tool: Category 10 (processing of sold products), 12 (end-life treatment of sold products), and 14 (franchises).</t>
    </r>
  </si>
  <si>
    <t>Scope 3 Category
(click name to go to sheet)</t>
  </si>
  <si>
    <t>Workbook sheet name</t>
  </si>
  <si>
    <t>Scope 3 Estimation Methodology</t>
  </si>
  <si>
    <t>Additional Notes/Details</t>
  </si>
  <si>
    <t>Upstream</t>
  </si>
  <si>
    <t>Category 1: Purchased Goods and Services</t>
  </si>
  <si>
    <t>Cat 1 and 2 (Goods &amp; Services)</t>
  </si>
  <si>
    <t>All upstream (i.e., cradle-to-gate) emissions from the production of products purchased or acquired by the reporting company in the reporting year. Products include both goods (tangible products) and services (intangible products).</t>
  </si>
  <si>
    <t>Spend-based Method</t>
  </si>
  <si>
    <t>Additional options to use supplier-specific method or other external methods now available.</t>
  </si>
  <si>
    <t>Category 2: Capital Goods</t>
  </si>
  <si>
    <t>Cat 2 (Goods &amp; Services)</t>
  </si>
  <si>
    <t>All upstream (i.e., cradle-to-gate) emissions from the production of capital goods purchased or acquired by the reporting company in the reporting year. Emissions from the use of capital goods by the reporting company
are accounted for in eithe scope 1 (e.g., for fuel use) or scope 2 (e.g., for electricity use), rather than in scope 3.</t>
  </si>
  <si>
    <t>Category 3: Fuel- and energy related activities</t>
  </si>
  <si>
    <t>Cat 3 Fuel &amp; Energy</t>
  </si>
  <si>
    <t>Emissions related to the production of fuels and energy purchased and consumed by the reporting company in the reporting year that are not included in scope 1 or scope 2.</t>
  </si>
  <si>
    <t>Average-data Method</t>
  </si>
  <si>
    <t>Category 4: Upstream transportation and distribution</t>
  </si>
  <si>
    <t>Cat 4 Upstream T&amp;D</t>
  </si>
  <si>
    <t>• Transportation and distribution of products purchased by the reporting company  between a company’s tier 1 suppliers and its own operations (in vehicles and facilities not owned or controlled by the reporting company)
• Transportation and distribution services purchased by the reporting company , including inbound logistics, outbound logistics (e.g., of sold products), and transportation and distribution between a company’s own facilities (in vehicles and facilities not owned or controlled by the reporting company)</t>
  </si>
  <si>
    <t>Category 5: Waste Generated in Operations</t>
  </si>
  <si>
    <t>Cat 5 Waste</t>
  </si>
  <si>
    <t>Disposal and treatment of waste generated in the reporting company’s operations  (in facilities not owned or controlled by the reporting company)</t>
  </si>
  <si>
    <t>Category 6: Business Travel</t>
  </si>
  <si>
    <t>Cat 6 Business Travel</t>
  </si>
  <si>
    <t>Transportation of employees for business-related activities  (in vehicles not owned or operated by the reporting company)</t>
  </si>
  <si>
    <t>Category 7: Employee commuting</t>
  </si>
  <si>
    <t>Cat 7 Employee Commuting</t>
  </si>
  <si>
    <t>Transportation of employees between their homes and their worksites  (in vehicles not owned or operated by the reporting company)</t>
  </si>
  <si>
    <t>Category 8: Upstream Leased Assets</t>
  </si>
  <si>
    <t>Cat 8 &amp; Cat 13 Leased Assets</t>
  </si>
  <si>
    <t xml:space="preserve">Operation of assets leased by the reporting company (lessee) </t>
  </si>
  <si>
    <t>Downstream</t>
  </si>
  <si>
    <t>Category 9: Downstream Transportation and Distribution [Patient Visits &amp; Telehealth)</t>
  </si>
  <si>
    <t>Cat 9 Downstream T&amp;D</t>
  </si>
  <si>
    <t>Transportation and distribution of products sold by the reporting company  between the reporting company’s operations and the end consumer (if not paid for by the reporting company), including retail and storage (in vehicles and facilities not owned or controlled by the reporting company)</t>
  </si>
  <si>
    <t>Category 10: Processing of Sold Products</t>
  </si>
  <si>
    <t>Processing of intermediate products sold  by downstream companies (e.g., manufacturers)</t>
  </si>
  <si>
    <r>
      <t xml:space="preserve">Based on ENGIE Impact's evaluation of Healthcare System Scope 3 operations, this category is likely to represent a </t>
    </r>
    <r>
      <rPr>
        <i/>
        <sz val="10"/>
        <color rgb="FFFF0000"/>
        <rFont val="Arial"/>
        <family val="2"/>
        <scheme val="minor"/>
      </rPr>
      <t>de minimis</t>
    </r>
    <r>
      <rPr>
        <sz val="10"/>
        <color rgb="FFFF0000"/>
        <rFont val="Arial"/>
        <family val="2"/>
        <scheme val="minor"/>
      </rPr>
      <t xml:space="preserve"> contribution to overall Scope 3 emissions and is therefore excluded from this tool</t>
    </r>
  </si>
  <si>
    <t>Category 11: Use of Sold Products</t>
  </si>
  <si>
    <t>Cat 11 Use of Sold Products</t>
  </si>
  <si>
    <t xml:space="preserve">End use of goods and services sold by the reporting company </t>
  </si>
  <si>
    <t>Healthcare specific (inhalers)</t>
  </si>
  <si>
    <t>Based on ENGIE Impact's evaluation of Healthcare System Scope 3 operations, this category primarily applies to use of inhalers and other products with refrigerant-based propellants</t>
  </si>
  <si>
    <t>Category 12: End-life treatment of sold products</t>
  </si>
  <si>
    <t>Waste disposal and treatment of products sold by the reporting company at the end of their life</t>
  </si>
  <si>
    <t>Category 13: Downstream leased assets</t>
  </si>
  <si>
    <t>Operation of assets owned by the reporting company (lessor) and leased to other entities</t>
  </si>
  <si>
    <t>Category 14: Franchises</t>
  </si>
  <si>
    <t>Operation of franchises , not included in scope 1 and scope 2 – reported by franchisor</t>
  </si>
  <si>
    <t>Category 15: Investments</t>
  </si>
  <si>
    <t>Cat 15 Investments</t>
  </si>
  <si>
    <t>Operation of investments (including equity and debt investments and project finance), not included in scope 1 or scope 2</t>
  </si>
  <si>
    <t>Average-data Method
(using EEIO database)</t>
  </si>
  <si>
    <t>See the References tab for links to these resources.</t>
  </si>
  <si>
    <t>Global Warming Potential Values:</t>
  </si>
  <si>
    <t>https://www.bls.gov/data/inflation_calculator.htm</t>
  </si>
  <si>
    <t xml:space="preserve">Enter "1" in the top cell </t>
  </si>
  <si>
    <t>Year:</t>
  </si>
  <si>
    <t>Month:</t>
  </si>
  <si>
    <t>https://ghgprotocol.org/sites/default/files/2022-12/Required%20gases%20and%20GWP%20values_0.pdf</t>
  </si>
  <si>
    <t>Scope</t>
  </si>
  <si>
    <t>Emissions
(MT CO2e)</t>
  </si>
  <si>
    <t>Scope 3</t>
  </si>
  <si>
    <t>Scope 3 Category</t>
  </si>
  <si>
    <t>Category Name</t>
  </si>
  <si>
    <t>GHG Emissions (MTCO2e)</t>
  </si>
  <si>
    <t>Purchased goods &amp; services</t>
  </si>
  <si>
    <t>Capital goods</t>
  </si>
  <si>
    <t>Fuel- &amp; energy-related emissions</t>
  </si>
  <si>
    <t>Upstream transportation &amp; distribution</t>
  </si>
  <si>
    <t>Waste generated in operations</t>
  </si>
  <si>
    <t>Business travel</t>
  </si>
  <si>
    <t>Employee commuting</t>
  </si>
  <si>
    <t>Upstream leased assets</t>
  </si>
  <si>
    <t>Downstream transportation &amp; distribution
[Patient Visits &amp; Telehealth]</t>
  </si>
  <si>
    <t>Processing of sold products</t>
  </si>
  <si>
    <t>Use of sold products</t>
  </si>
  <si>
    <t>End-of-life treatment of sold products</t>
  </si>
  <si>
    <t>Downstream leased assets</t>
  </si>
  <si>
    <t>Franchises</t>
  </si>
  <si>
    <t>Investments</t>
  </si>
  <si>
    <t>Custom User Input of Category 1 and 2 Data</t>
  </si>
  <si>
    <t>Enter custom data in GRAY cells in the below table as follows:</t>
  </si>
  <si>
    <r>
      <rPr>
        <b/>
        <i/>
        <sz val="10"/>
        <rFont val="Arial"/>
        <family val="2"/>
      </rPr>
      <t>Category</t>
    </r>
    <r>
      <rPr>
        <sz val="10"/>
        <rFont val="Arial"/>
        <family val="2"/>
      </rPr>
      <t xml:space="preserve"> - enter either "Capital Goods" or "Purchased Goods &amp; Services" (this will affect the summation at the bottom of the table; and the 'Summary' tab in this workbook)</t>
    </r>
  </si>
  <si>
    <t>Category 1 - Purchased Goods &amp; Services</t>
  </si>
  <si>
    <t>Category 2 - Capital Goods</t>
  </si>
  <si>
    <t>Table 1a. Supplier-specific method</t>
  </si>
  <si>
    <t>Table 2a. Supplier-specific method</t>
  </si>
  <si>
    <t>Note: The activity data provided in the first row below is illustrative only and is not included in totals.</t>
  </si>
  <si>
    <t>Item #</t>
  </si>
  <si>
    <t>Supplier Name</t>
  </si>
  <si>
    <t>Annual procurement spend ($)</t>
  </si>
  <si>
    <t>Emission Factor (kg CO2e/$)</t>
  </si>
  <si>
    <t>Example</t>
  </si>
  <si>
    <t>Example - Microsoft</t>
  </si>
  <si>
    <t>Enter custom emissions factor from supplier (in current year $)</t>
  </si>
  <si>
    <t>Total Emissions Purchased Goods &amp; Services</t>
  </si>
  <si>
    <t>Total Emissions: Capital Goods</t>
  </si>
  <si>
    <t>Table 1b. Emissions Estimates from Vendors/Suppliers</t>
  </si>
  <si>
    <t>Table 2b. Emissions Estimates from Vendors/Suppliers</t>
  </si>
  <si>
    <t>(use this table to track emissions estimated from supply chain vendors/suppliers)</t>
  </si>
  <si>
    <t>Total Emissions Capital Goods</t>
  </si>
  <si>
    <t>Use this tab to track emissions totals obtained from supply chain partners or other resources. Category 7 emissions can be calculated here based on specific transit mode and distance information from staff. If only spend data (or distance data for Category 6) is available, see the following light blue tabs for: "Cat 4 Upstream Trans &amp; Dist", "Cat 5 Waste", "Cat 6 Business Trav. (spend)", "Cat 6 Business Trav. (distance)", "Cat 7 Employee Commuting", and "Cat 15 Investments".</t>
  </si>
  <si>
    <t>Based on column headings and available information, enter custom data in GRAY cells in the below tables.</t>
  </si>
  <si>
    <t>Category 4 - Upstream Transportation &amp; Distribution: Custom emissions</t>
  </si>
  <si>
    <t>Several additional fields are included - please fill in according to the level of information available.</t>
  </si>
  <si>
    <t>Transportation Mode or Method</t>
  </si>
  <si>
    <t>Activity data metric (spend, distance, etc.)</t>
  </si>
  <si>
    <t>Activity data amount</t>
  </si>
  <si>
    <t>Activity data unit of measure</t>
  </si>
  <si>
    <t>Emission Factor (kg CO2e/unit of activity data)</t>
  </si>
  <si>
    <t>Source notes</t>
  </si>
  <si>
    <t>Truck transport</t>
  </si>
  <si>
    <t>Distance</t>
  </si>
  <si>
    <t>mi</t>
  </si>
  <si>
    <t>Defra Class III Van - Delivery Vehicles, 2022</t>
  </si>
  <si>
    <t>Example 2</t>
  </si>
  <si>
    <t>N/A</t>
  </si>
  <si>
    <t>FedEx transport emissions report</t>
  </si>
  <si>
    <t>TOTAL</t>
  </si>
  <si>
    <t>Category 5 - Waste Generated in Operations: Custom emissions</t>
  </si>
  <si>
    <t>Note: It is optional to add details to the fields below beyond the emission totals in column H. However, for transparency, it is recommended to include as many details as possible to demonstrate how the calculations were performed.</t>
  </si>
  <si>
    <t>Waste material</t>
  </si>
  <si>
    <t>Waste disposal/
treatment method</t>
  </si>
  <si>
    <t>Weight</t>
  </si>
  <si>
    <t>Weight Unit</t>
  </si>
  <si>
    <t>Tonnes</t>
  </si>
  <si>
    <t>Defra waste disposal factors, 2022</t>
  </si>
  <si>
    <t>Category 6 - Business Travel: Custom emissions</t>
  </si>
  <si>
    <t>Transportation Mode / Accomodations</t>
  </si>
  <si>
    <t>other example sources:</t>
  </si>
  <si>
    <t>Concur report</t>
  </si>
  <si>
    <t>Climate Impact check-up tool (with Practice Green Health)</t>
  </si>
  <si>
    <t>EPA's simplified emission calculation tool</t>
  </si>
  <si>
    <t>Distance Traveled (mi)</t>
  </si>
  <si>
    <t>Emission Factor
(kg CO2e/mi or 
passenger mile)</t>
  </si>
  <si>
    <t>Car market segment definitions</t>
  </si>
  <si>
    <t>Segment</t>
  </si>
  <si>
    <t>Emission factor intensity rank (highest = 1)</t>
  </si>
  <si>
    <t>Definition</t>
  </si>
  <si>
    <t>This is a luxury car.</t>
  </si>
  <si>
    <t xml:space="preserve">Sport cars are a small, usually two seater with two doors and designed for speed, high acceleration, and manoeuvrability. </t>
  </si>
  <si>
    <t>These are sport utility vehicles (SUVs) which have off-road capabilities and four-wheel drive.</t>
  </si>
  <si>
    <r>
      <t xml:space="preserve">These are multipurpose cars. </t>
    </r>
    <r>
      <rPr>
        <b/>
        <sz val="11"/>
        <color theme="1"/>
        <rFont val="Arial"/>
        <family val="2"/>
        <scheme val="minor"/>
      </rPr>
      <t>Recommend using this if vehicle type is unknown.</t>
    </r>
  </si>
  <si>
    <t xml:space="preserve">These are large cars. </t>
  </si>
  <si>
    <t xml:space="preserve">This is classed as a large family car. </t>
  </si>
  <si>
    <t>This is a small, compact family car.</t>
  </si>
  <si>
    <t xml:space="preserve">This is a car that is larger than a city car, but smaller than a small family car. </t>
  </si>
  <si>
    <t>This is the smallest category of car sometimes referred to as a city car.</t>
  </si>
  <si>
    <t>Category 15 - Investments: Custom emissions</t>
  </si>
  <si>
    <t>Use this section if you have received emission reports or performed calculations outside of this tool.</t>
  </si>
  <si>
    <t>Item Description</t>
  </si>
  <si>
    <t>Example - asset manager report</t>
  </si>
  <si>
    <t>Report generated by our investment partner for a $5 million investment portfolio</t>
  </si>
  <si>
    <t>If you are unfamiliar with using slicers in Excel, the following instructions may be helpful:</t>
  </si>
  <si>
    <t>Using the filter:</t>
  </si>
  <si>
    <r>
      <t xml:space="preserve">On the top of the slicer, you can see the </t>
    </r>
    <r>
      <rPr>
        <b/>
        <i/>
        <sz val="12"/>
        <color theme="1"/>
        <rFont val="Calibri"/>
        <family val="2"/>
      </rPr>
      <t xml:space="preserve">Filter </t>
    </r>
    <r>
      <rPr>
        <sz val="12"/>
        <color theme="1"/>
        <rFont val="Calibri"/>
        <family val="2"/>
      </rPr>
      <t>icon. When you click on any data in the slicer, you get the sliced column filtered according to the value(s) you clicked. By default all categories are selected to begin.</t>
    </r>
  </si>
  <si>
    <t>Clearing Filter:</t>
  </si>
  <si>
    <r>
      <t>After identifying the most appropriate category associated with annual procurement data, clear the slicer before evaluating other data by clicking the </t>
    </r>
    <r>
      <rPr>
        <b/>
        <i/>
        <sz val="12"/>
        <color rgb="FF333333"/>
        <rFont val="Calibri"/>
        <family val="2"/>
      </rPr>
      <t>Clear Filter</t>
    </r>
    <r>
      <rPr>
        <sz val="12"/>
        <color rgb="FF333333"/>
        <rFont val="Calibri"/>
        <family val="2"/>
      </rPr>
      <t xml:space="preserve"> icon as illustrated here.</t>
    </r>
  </si>
  <si>
    <t>Multi-select</t>
  </si>
  <si>
    <t>You can use the slicer multi-select button to filter multiple categories at the same time. This is the button with three check marks at the top of the dashboard.</t>
  </si>
  <si>
    <t>To start, simply select a single category. Then, there are generally two ways to select additional categories, as follows:</t>
  </si>
  <si>
    <t>1) Click the slicer buttons while holding the Ctrl key.</t>
  </si>
  <si>
    <r>
      <t>2) Click the </t>
    </r>
    <r>
      <rPr>
        <sz val="12"/>
        <color rgb="FF000000"/>
        <rFont val="Calibri"/>
        <family val="2"/>
      </rPr>
      <t>Multi-Select</t>
    </r>
    <r>
      <rPr>
        <sz val="12"/>
        <color rgb="FF000000"/>
        <rFont val="Calibri"/>
        <family val="2"/>
      </rPr>
      <t> button (as shown below), and then click on the items one by one.</t>
    </r>
  </si>
  <si>
    <t>Be sure to clear the filter (and untoggle the multi-select button) before moving on to evaluate other procurement data.</t>
  </si>
  <si>
    <t>filter / clear filter button</t>
  </si>
  <si>
    <t>multi-select button (toggle on or off)</t>
  </si>
  <si>
    <t>Other guidance/suggestions for map procurment of goods and services as tracked in an organization's general ledger to the USEEIO categories:</t>
  </si>
  <si>
    <t>Key word search:</t>
  </si>
  <si>
    <t xml:space="preserve">You can use CNTRL+F to open a “Find” search box, and then enter a keyword of interest. </t>
  </si>
  <si>
    <r>
      <t xml:space="preserve">Clicking “Find All” and expanding that window will provide results in the </t>
    </r>
    <r>
      <rPr>
        <i/>
        <sz val="12"/>
        <color theme="1"/>
        <rFont val="Calibri"/>
        <family val="2"/>
      </rPr>
      <t>Value</t>
    </r>
    <r>
      <rPr>
        <sz val="12"/>
        <color theme="1"/>
        <rFont val="Calibri"/>
        <family val="2"/>
      </rPr>
      <t xml:space="preserve"> field. For example, using the keyword “diagnostic”, as illustrated below.</t>
    </r>
  </si>
  <si>
    <r>
      <t>Include</t>
    </r>
    <r>
      <rPr>
        <sz val="11"/>
        <color theme="1"/>
        <rFont val="Calibri"/>
        <family val="2"/>
      </rPr>
      <t xml:space="preserve"> only spend on goods or services procured with external entities. Inclusion of vendor information in the general ledger report may help ensure only procurement with external entities is considered.</t>
    </r>
  </si>
  <si>
    <r>
      <t>Exclude</t>
    </r>
    <r>
      <rPr>
        <sz val="11"/>
        <color theme="1"/>
        <rFont val="Calibri"/>
        <family val="2"/>
      </rPr>
      <t xml:space="preserve"> any asset valuation, depreciation, taxes, licensing fees, employee benefits, insurance payments, litigation settlements, etc. (i.e., not related to procurement of a good or a service). </t>
    </r>
  </si>
  <si>
    <r>
      <t xml:space="preserve">However, legal services, insurance broker fees, tax preparation services (and similar) do have emissions categories in the USEEIO database and should be </t>
    </r>
    <r>
      <rPr>
        <u/>
        <sz val="12"/>
        <color theme="1"/>
        <rFont val="Calibri"/>
        <family val="2"/>
      </rPr>
      <t>included</t>
    </r>
    <r>
      <rPr>
        <sz val="12"/>
        <color theme="1"/>
        <rFont val="Calibri"/>
        <family val="2"/>
      </rPr>
      <t xml:space="preserve"> (as these are procured services).</t>
    </r>
  </si>
  <si>
    <r>
      <t xml:space="preserve">Organizations may consider </t>
    </r>
    <r>
      <rPr>
        <u/>
        <sz val="11"/>
        <color theme="1"/>
        <rFont val="Calibri"/>
        <family val="2"/>
      </rPr>
      <t>excluding</t>
    </r>
    <r>
      <rPr>
        <sz val="11"/>
        <color theme="1"/>
        <rFont val="Calibri"/>
        <family val="2"/>
      </rPr>
      <t xml:space="preserve"> rent payments for leased facilities, since the cost of commercial real estate can often be a function of many regional factors related to supply/demand, and therefore the cost to rent commercial space may far exceed the basis of the EEIO emission factors, which should represent embodied carbon from the initial construction of that commercial space as well as the operations of the leasing management company. </t>
    </r>
  </si>
  <si>
    <t>Category 3: Fuel- and Energy-Related Activities</t>
  </si>
  <si>
    <t>Enter annual energy consumption data  (fuels and electricity) in GRAY cells in the below table as follows:</t>
  </si>
  <si>
    <r>
      <rPr>
        <b/>
        <sz val="10"/>
        <rFont val="Arial"/>
        <family val="2"/>
      </rPr>
      <t>Item Description (optional)</t>
    </r>
    <r>
      <rPr>
        <sz val="10"/>
        <rFont val="Arial"/>
        <family val="2"/>
      </rPr>
      <t xml:space="preserve"> is available for a user-specific identifier</t>
    </r>
  </si>
  <si>
    <r>
      <rPr>
        <b/>
        <sz val="10"/>
        <rFont val="Arial"/>
        <family val="2"/>
      </rPr>
      <t xml:space="preserve">Table 1 - </t>
    </r>
    <r>
      <rPr>
        <sz val="10"/>
        <rFont val="Arial"/>
        <family val="2"/>
      </rPr>
      <t xml:space="preserve">Enter the </t>
    </r>
    <r>
      <rPr>
        <b/>
        <i/>
        <sz val="10"/>
        <rFont val="Arial"/>
        <family val="2"/>
      </rPr>
      <t>Fuel Type</t>
    </r>
    <r>
      <rPr>
        <sz val="10"/>
        <rFont val="Arial"/>
        <family val="2"/>
      </rPr>
      <t xml:space="preserve"> and </t>
    </r>
    <r>
      <rPr>
        <b/>
        <i/>
        <sz val="10"/>
        <rFont val="Arial"/>
        <family val="2"/>
      </rPr>
      <t>Consumption</t>
    </r>
    <r>
      <rPr>
        <sz val="10"/>
        <rFont val="Arial"/>
        <family val="2"/>
      </rPr>
      <t xml:space="preserve"> totals and ensure the units are consistent with </t>
    </r>
    <r>
      <rPr>
        <b/>
        <i/>
        <sz val="10"/>
        <rFont val="Arial"/>
        <family val="2"/>
      </rPr>
      <t>Unit of Measure</t>
    </r>
    <r>
      <rPr>
        <sz val="10"/>
        <rFont val="Arial"/>
        <family val="2"/>
      </rPr>
      <t xml:space="preserve"> (UoM; column E)</t>
    </r>
  </si>
  <si>
    <r>
      <rPr>
        <b/>
        <sz val="10"/>
        <rFont val="Arial"/>
        <family val="2"/>
      </rPr>
      <t xml:space="preserve">Tables 2 and 3 - </t>
    </r>
    <r>
      <rPr>
        <sz val="10"/>
        <rFont val="Arial"/>
        <family val="2"/>
      </rPr>
      <t xml:space="preserve">Enter the Country and electricity </t>
    </r>
    <r>
      <rPr>
        <b/>
        <i/>
        <sz val="10"/>
        <rFont val="Arial"/>
        <family val="2"/>
      </rPr>
      <t>Consumption (kWh)</t>
    </r>
    <r>
      <rPr>
        <sz val="10"/>
        <rFont val="Arial"/>
        <family val="2"/>
      </rPr>
      <t xml:space="preserve"> totals and ensure the units are accurate</t>
    </r>
  </si>
  <si>
    <t>Consumption</t>
  </si>
  <si>
    <t>Unit of Measure (UoM)</t>
  </si>
  <si>
    <t>Emission Factor UoM</t>
  </si>
  <si>
    <t>Table 2. Upstream emissions from purchased electricity</t>
  </si>
  <si>
    <t>Consumption (kWh)</t>
  </si>
  <si>
    <t>Total electricity generated (kWh)</t>
  </si>
  <si>
    <t>Upstream Emission Factor (kg CO2e/kWh)</t>
  </si>
  <si>
    <t>Table 3. Transmission and distribution losses</t>
  </si>
  <si>
    <t>Generation Emission Factor (kg CO2e/kWh)</t>
  </si>
  <si>
    <t>Category 4: Upstream Transportation &amp; Distribution</t>
  </si>
  <si>
    <t>Enter annual data in GRAY cells in the below table as follows:</t>
  </si>
  <si>
    <r>
      <rPr>
        <b/>
        <sz val="11"/>
        <color theme="1"/>
        <rFont val="Arial"/>
        <family val="2"/>
        <scheme val="minor"/>
      </rPr>
      <t>Air transportation:</t>
    </r>
    <r>
      <rPr>
        <sz val="11"/>
        <color theme="1"/>
        <rFont val="Arial"/>
        <family val="2"/>
        <scheme val="minor"/>
      </rPr>
      <t xml:space="preserve"> Industries in the Air Transportation subsector provide air transportation of passengers and/or cargo using aircraft, such as airplanes and helicopters. The subsector distinguishes scheduled from nonscheduled air transportation. Scheduled air carriers fly regular routes on regular schedules and operate even if flights are only partially loaded. Nonscheduled carriers often operate during nonpeak time slots at busy airports. These establishments have more flexibility with respect to choice of airport, hours of operation, load factors, and similar operational characteristics. Nonscheduled carriers provide chartered air transportation of passengers, cargo, or specialty flying services. Specialty flying services establishments use generalpurpose aircraft to provide a variety of specialized flying services. Scenic and sightseeing air transportation and air courier services are not included in this subsector but are included in Subsector 487, Scenic and Sightseeing Transportation and in Subsector 492, Couriers and Messengers. Although these activities may use aircraft, they are different from the activities included in air transportation. Air sightseeing does not usually involve place-to-place transportation; the passenger's flight (e.g., balloon ride, aerial sightseeing) typically starts and ends at the same location. Courier services (individual package or cargo delivery) include more than air transportation; road transportation is usually required to deliver the cargo to the intended recipient.</t>
    </r>
  </si>
  <si>
    <t>Rail transport</t>
  </si>
  <si>
    <r>
      <rPr>
        <b/>
        <sz val="11"/>
        <color theme="1"/>
        <rFont val="Arial"/>
        <family val="2"/>
        <scheme val="minor"/>
      </rPr>
      <t xml:space="preserve">Rail transportation: </t>
    </r>
    <r>
      <rPr>
        <sz val="11"/>
        <color theme="1"/>
        <rFont val="Arial"/>
        <family val="2"/>
        <scheme val="minor"/>
      </rPr>
      <t>Industries in the Rail Transportation subsector provide rail transportation of passengers and/or cargo using railroad rolling stock. The railroads in this subsector primarily either operate on networks, with physical facilities, labor force, and equipment spread over an extensive geographic area, or operate over a short distance on a local rail line. Scenic and sightseeing rail transportation and street railroads, commuter rail, and rapid transit are not included in this subsector but are included in Subsector 487, Scenic and Sightseeing Transportation, and Subsector 485, Transit and Ground Passenger Transportation, respectively. Although these activities use railroad rolling stock, they are different from the activities included in rail transportation. Sightseeing and scenic railroads do not usually involve place-to-place transportation; the passenger's trip typically starts and ends at the same location. Commuter railroads operate in a manner more consistent with local and urban transit and are often part of integrated transit systems.</t>
    </r>
  </si>
  <si>
    <t>Water transport (boats, ships, ferries)</t>
  </si>
  <si>
    <r>
      <rPr>
        <b/>
        <sz val="11"/>
        <color theme="1"/>
        <rFont val="Arial"/>
        <family val="2"/>
        <scheme val="minor"/>
      </rPr>
      <t>Water transportation:</t>
    </r>
    <r>
      <rPr>
        <sz val="11"/>
        <color theme="1"/>
        <rFont val="Arial"/>
        <family val="2"/>
        <scheme val="minor"/>
      </rPr>
      <t xml:space="preserve"> Industries in the Water Transportation subsector provide water transportation of passengers and cargo using watercraft, such as ships, barges, and boats. The subsector is composed of two industry groups (1) one for deep sea, coastal, and Great Lakes; and (2) one for inland water transportation. This split typically reflects the difference in equipment used. Scenic and sightseeing water transportation services are not included in this subsector but are included in Subsector 487, Scenic and Sightseeing Transportation. Although these activities use watercraft, they are different from the activities included in water transportation. Water sightseeing does not usually involve place-to-place transportation; the passenger's trip starts and ends at the same location.</t>
    </r>
  </si>
  <si>
    <r>
      <rPr>
        <b/>
        <sz val="11"/>
        <color theme="1"/>
        <rFont val="Arial"/>
        <family val="2"/>
        <scheme val="minor"/>
      </rPr>
      <t>Truck transportation:</t>
    </r>
    <r>
      <rPr>
        <sz val="11"/>
        <color theme="1"/>
        <rFont val="Arial"/>
        <family val="2"/>
        <scheme val="minor"/>
      </rPr>
      <t xml:space="preserve"> Industries in the Truck Transportation subsector provide over-the-road transportation of cargo using motor vehicles, such as trucks and tractor trailers. The subsector is subdivided into general freight trucking and specialized freight trucking. This distinction reflects differences in equipment used, type of load carried, scheduling, terminal, and other networking services. General freight transportation establishments handle a wide variety of general commodities, generally palletized, and transported in a container or van trailer. Specialized freight transportation is the transportation of cargo that, because of size, weight, shape, or other inherent characteristics require specialized equipment for transportation. Each of these industry groups is further subdivided based on distance traveled. Local trucking establishments primarily carry goods within a single metropolitan area and its adjacent nonurban areas. Long distance trucking establishments carry goods between metropolitan areas. The Specialized Freight Trucking industry group includes a separate industry for Used Household and Office Goods Moving. The household and office goods movers are separated because of the substantial network of establishments that has developed to deal with local and long-distance moving and the associated storage. In this area, the same establishment provides both local and long-distance services, while other specialized freight establishments generally limit their services to either local or long-distance hauling.</t>
    </r>
  </si>
  <si>
    <t>Postal service</t>
  </si>
  <si>
    <r>
      <rPr>
        <b/>
        <sz val="11"/>
        <color theme="1"/>
        <rFont val="Arial"/>
        <family val="2"/>
        <scheme val="minor"/>
      </rPr>
      <t>Postal service:</t>
    </r>
    <r>
      <rPr>
        <sz val="11"/>
        <color theme="1"/>
        <rFont val="Arial"/>
        <family val="2"/>
        <scheme val="minor"/>
      </rPr>
      <t xml:space="preserve"> The Postal Service subsector includes the activities of the National Post Office and its subcontractors operating under a universal service obligation to provide mail services, and using the infrastructure required to fulfill that obligation. These services include delivering letters and small parcels. These articles can be described as those that can be handled by one person without using special equipment. This allows the collection, pick-up, and delivery operations to be done with limited labor costs and minimal equipment. Sorting and transportation activities, where necessary, are generally mechanized. The restriction to small parcels distinguishes these establishments from those in the transportation industries. These establishments may also provide express delivery services using the infrastructure established for provision of basic mail services. The traditional activity of the National Postal Service is described in this subsector. Subcontractors include rural post offices on contract to the Postal Service. Bulk transportation of mail on contract to the Postal Service is not included here, because it is usually done by transportation establishments that carry other customers' cargo as well. Establishments that provide courier and express delivery services without operating under a universal service obligation are classified in subsector 492, Couriers and Messengers.</t>
    </r>
  </si>
  <si>
    <t>Couriers and messengers</t>
  </si>
  <si>
    <r>
      <rPr>
        <b/>
        <sz val="11"/>
        <color theme="1"/>
        <rFont val="Arial"/>
        <family val="2"/>
        <scheme val="minor"/>
      </rPr>
      <t>Couriers and messengers:</t>
    </r>
    <r>
      <rPr>
        <sz val="11"/>
        <color theme="1"/>
        <rFont val="Arial"/>
        <family val="2"/>
        <scheme val="minor"/>
      </rPr>
      <t xml:space="preserve"> Industries in the Couriers and Messengers subsector provide intercity and/or local delivery of parcels and documents (including express delivery services) without operating under a universal service obligation. These articles can be described as those that may be handled by one person without using special equipment. This allows the collection, pick-up, and delivery operations to be done with limited labor costs and minimal equipment. Sorting and transportation activities, where necessary, are generally mechanized. The restriction to small parcels partly distinguishes these establishments from those in the transportation industries. The complete network of courier services establishments also distinguishes these transportation services from local messenger and delivery establishments in this subsector. This includes the establishments that perform intercity transportation as well as establishments that, under contract to them, perform local pick-up and delivery. Messengers, which usually deliver within a metropolitan or single urban area, may use bicycle, foot, small truck, or van.</t>
    </r>
  </si>
  <si>
    <t>Warehousing</t>
  </si>
  <si>
    <r>
      <rPr>
        <b/>
        <sz val="11"/>
        <color theme="1"/>
        <rFont val="Arial"/>
        <family val="2"/>
        <scheme val="minor"/>
      </rPr>
      <t>Warehousing and storage:</t>
    </r>
    <r>
      <rPr>
        <sz val="11"/>
        <color theme="1"/>
        <rFont val="Arial"/>
        <family val="2"/>
        <scheme val="minor"/>
      </rPr>
      <t xml:space="preserve"> Industries in the Warehousing and Storage subsector are primarily engaged in operating warehousing and storage facilities for general merchandise, refrigerated goods, and other warehouse products. These establishments provide facilities to store goods. They do not sell the goods they handle. These establishments take responsibility for storing the goods and keeping them secure. They may also provide a range of services, often referred to as logistics services, related to the distribution of goods. Logistics services can include labeling, breaking bulk, inventory control and management, light assembly, order entry and fulfillment, packaging, pick and pack, price marking and ticketing, and transportation arrangement. However, establishments in this industry group always provide warehousing or storage services in addition to any logistic services. Furthermore, the warehousing or storage of goods must be more than incidental to the performance of services, such as price marking. Bonded warehousing and storage services and warehouses located in free trade zones are included in the industries of this subsector.</t>
    </r>
  </si>
  <si>
    <t>Waste-type-specific method/Average data method</t>
  </si>
  <si>
    <t>Emission Factor (MTCO2e/short ton)</t>
  </si>
  <si>
    <t>Waste generated from facility A</t>
  </si>
  <si>
    <t>Water Usage Volume (gallons)</t>
  </si>
  <si>
    <t>Wastewater generated from facility A</t>
  </si>
  <si>
    <t>Category 6: Business Travel  - spend-based</t>
  </si>
  <si>
    <r>
      <rPr>
        <b/>
        <sz val="10"/>
        <rFont val="Arial"/>
        <family val="2"/>
      </rPr>
      <t>Item Description (optional)</t>
    </r>
    <r>
      <rPr>
        <b/>
        <i/>
        <sz val="10"/>
        <rFont val="Arial"/>
        <family val="2"/>
      </rPr>
      <t xml:space="preserve"> </t>
    </r>
    <r>
      <rPr>
        <sz val="10"/>
        <rFont val="Arial"/>
        <family val="2"/>
      </rPr>
      <t>- this column is available for any user-specific identifier</t>
    </r>
  </si>
  <si>
    <r>
      <rPr>
        <b/>
        <sz val="10"/>
        <rFont val="Arial"/>
        <family val="2"/>
      </rPr>
      <t xml:space="preserve">Annual procurement spend ($) </t>
    </r>
    <r>
      <rPr>
        <sz val="10"/>
        <rFont val="Arial"/>
        <family val="2"/>
      </rPr>
      <t>- enter the total amount spent on the type of transportation in the reporting year</t>
    </r>
  </si>
  <si>
    <t>Air transportation'. Industries in the Air Transportation subsector provide air transportation of passengers and/or cargo using aircraft, such as airplanes and helicopters. The subsector distinguishes scheduled from nonscheduled air transportation. Scheduled air carriers fly regular routes on regular schedules and operate even if flights are only partially loaded. Nonscheduled carriers often operate during nonpeak time slots at busy airports. These establishments have more flexibility with respect to choice of airport, hours of operation, load factors, and similar operational characteristics. Nonscheduled carriers provide chartered air transportation of passengers, cargo, or specialty flying services. Specialty flying services establishments use generalpurpose aircraft to provide a variety of specialized flying services. Scenic and sightseeing air transportation and air courier services are not included in this subsector but are included in Subsector 487, Scenic and Sightseeing Transportation and in Subsector 492, Couriers and Messengers. Although these activities may use aircraft, they are different from the activities included in air transportation. Air sightseeing does not usually involve place-to-place transportation; the passenger's flight (e.g., balloon ride, aerial sightseeing) typically starts and ends at the same location. Courier services (individual package or cargo delivery) include more than air transportation; road transportation is usually required to deliver the cargo to the intended recipient.</t>
  </si>
  <si>
    <t>Rail transportation'. Industries in the Rail Transportation subsector provide rail transportation of passengers and/or cargo using railroad rolling stock. The railroads in this subsector primarily either operate on networks, with physical facilities, labor force, and equipment spread over an extensive geographic area, or operate over a short distance on a local rail line. Scenic and sightseeing rail transportation and street railroads, commuter rail, and rapid transit are not included in this subsector but are included in Subsector 487, Scenic and Sightseeing Transportation, and Subsector 485, Transit and Ground Passenger Transportation, respectively. Although these activities use railroad rolling stock, they are different from the activities included in rail transportation. Sightseeing and scenic railroads do not usually involve place-to-place transportation; the passenger's trip typically starts and ends at the same location. Commuter railroads operate in a manner more consistent with local and urban transit and are often part of integrated transit systems.</t>
  </si>
  <si>
    <t>Water transportation'. Industries in the Water Transportation subsector provide water transportation of passengers and cargo using watercraft, such as ships, barges, and boats. The subsector is composed of two industry groups (1) one for deep sea, coastal, and Great Lakes; and (2) one for inland water transportation. This split typically reflects the difference in equipment used. Scenic and sightseeing water transportation services are not included in this subsector but are included in Subsector 487, Scenic and Sightseeing Transportation. Although these activities use watercraft, they are different from the activities included in water transportation. Water sightseeing does not usually involve place-to-place transportation; the passenger's trip starts and ends at the same location.</t>
  </si>
  <si>
    <t>Passenger ground transport</t>
  </si>
  <si>
    <t>Transit and ground passenger transportation'. Industries in the Transit and Ground Passenger Transportation subsector include a variety of passenger transportation activities, such as urban transit systems; chartered bus, school bus, and interurban bus transportation; and taxis. These activities are distinguished based primarily on such production process factors as vehicle types, routes, and schedules. In this subsector, the principal splits identify scheduled transportation as separate from nonscheduled transportation. The scheduled transportation industry groups are Urban Transit Systems, Interurban and Rural Bus Transportation, and School and Employee Bus Transportation. The nonscheduled industry groups are the Charter Bus Industry and Taxi and Limousine Service. The Other Transit and Ground Passenger Transportation industry group includes both scheduled and nonscheduled transportation. Scenic and sightseeing ground transportation services are not included in this subsector but are included in Subsector 487, Scenic and Sightseeing Transportation. Sightseeing does not usually involve place-toplace transportation; the passenger's trip starts and ends at the same location.</t>
  </si>
  <si>
    <t>Category 6: Business Travel - distance-based</t>
  </si>
  <si>
    <t>Enter annual data in GRAY cells in the below tables as follows:</t>
  </si>
  <si>
    <r>
      <rPr>
        <b/>
        <sz val="10"/>
        <rFont val="Arial"/>
        <family val="2"/>
      </rPr>
      <t xml:space="preserve">Tables 1, 2, and 3 - </t>
    </r>
    <r>
      <rPr>
        <sz val="10"/>
        <rFont val="Arial"/>
        <family val="2"/>
      </rPr>
      <t xml:space="preserve">These tables are for tracking air travel, car travel, and hotel stays, respectively. </t>
    </r>
  </si>
  <si>
    <r>
      <rPr>
        <b/>
        <sz val="10"/>
        <rFont val="Arial"/>
        <family val="2"/>
      </rPr>
      <t xml:space="preserve">Item Description (optional) </t>
    </r>
    <r>
      <rPr>
        <sz val="10"/>
        <rFont val="Arial"/>
        <family val="2"/>
      </rPr>
      <t>- this column is available for any user-specific identifier</t>
    </r>
  </si>
  <si>
    <r>
      <rPr>
        <b/>
        <sz val="10"/>
        <rFont val="Arial"/>
        <family val="2"/>
      </rPr>
      <t>Haul length category</t>
    </r>
    <r>
      <rPr>
        <sz val="10"/>
        <rFont val="Arial"/>
        <family val="2"/>
      </rPr>
      <t xml:space="preserve"> - emissions per mile differs based on haul distance; please select from "short" (&lt; 300 miles), "medium" (&gt;= 300 miles, &lt; 2300 miles), or "long" (&gt;= 2300 miles)</t>
    </r>
  </si>
  <si>
    <r>
      <rPr>
        <b/>
        <sz val="10"/>
        <rFont val="Arial"/>
        <family val="2"/>
      </rPr>
      <t>Cabin Class</t>
    </r>
    <r>
      <rPr>
        <sz val="10"/>
        <rFont val="Arial"/>
        <family val="2"/>
      </rPr>
      <t xml:space="preserve"> - select from one of several cabin classes, which vary based on selected haul length.</t>
    </r>
  </si>
  <si>
    <r>
      <rPr>
        <b/>
        <sz val="10"/>
        <rFont val="Arial"/>
        <family val="2"/>
      </rPr>
      <t xml:space="preserve">Distance Traveled (mi) </t>
    </r>
    <r>
      <rPr>
        <sz val="10"/>
        <rFont val="Arial"/>
        <family val="2"/>
      </rPr>
      <t>- Enter the total distance traveled during the reporting year in that haul-class combination</t>
    </r>
  </si>
  <si>
    <t>Table 2</t>
  </si>
  <si>
    <r>
      <t xml:space="preserve">Transportation Mode - </t>
    </r>
    <r>
      <rPr>
        <sz val="10"/>
        <rFont val="Arial"/>
        <family val="2"/>
      </rPr>
      <t>Select the type of land transportation used</t>
    </r>
  </si>
  <si>
    <r>
      <t xml:space="preserve">Type </t>
    </r>
    <r>
      <rPr>
        <sz val="10"/>
        <rFont val="Arial"/>
        <family val="2"/>
      </rPr>
      <t>- Indicate a subtype based on the Transportation Mode selected</t>
    </r>
    <r>
      <rPr>
        <b/>
        <sz val="10"/>
        <rFont val="Arial"/>
        <family val="2"/>
      </rPr>
      <t>. See the market segment definitions to the right of the table.</t>
    </r>
  </si>
  <si>
    <r>
      <rPr>
        <b/>
        <sz val="10"/>
        <rFont val="Arial"/>
        <family val="2"/>
      </rPr>
      <t xml:space="preserve">If car, fuel type </t>
    </r>
    <r>
      <rPr>
        <sz val="10"/>
        <rFont val="Arial"/>
        <family val="2"/>
      </rPr>
      <t>- Indicate the fuel type of the vehicles</t>
    </r>
  </si>
  <si>
    <r>
      <rPr>
        <b/>
        <sz val="10"/>
        <rFont val="Arial"/>
        <family val="2"/>
      </rPr>
      <t xml:space="preserve">Distance Traveled (mi) </t>
    </r>
    <r>
      <rPr>
        <sz val="10"/>
        <rFont val="Arial"/>
        <family val="2"/>
      </rPr>
      <t>- Enter the total distance traveled during the reporting year by the transportation mode, type, and fuel combination</t>
    </r>
  </si>
  <si>
    <t>Table 3</t>
  </si>
  <si>
    <r>
      <rPr>
        <b/>
        <sz val="10"/>
        <rFont val="Arial"/>
        <family val="2"/>
      </rPr>
      <t xml:space="preserve">Country of stay - </t>
    </r>
    <r>
      <rPr>
        <sz val="10"/>
        <rFont val="Arial"/>
        <family val="2"/>
      </rPr>
      <t>Identify the country where the hotel nights were spent</t>
    </r>
  </si>
  <si>
    <r>
      <t>Number of nights -</t>
    </r>
    <r>
      <rPr>
        <sz val="10"/>
        <rFont val="Arial"/>
        <family val="2"/>
      </rPr>
      <t xml:space="preserve"> Enter the total number of nights stayed in that country</t>
    </r>
  </si>
  <si>
    <t>Table 1. Distance-based method (air travel)</t>
  </si>
  <si>
    <t>Emission Factor 
(kg CO2e/mi)</t>
  </si>
  <si>
    <t>Haul definitions</t>
  </si>
  <si>
    <t>Table 2. Distance-based method (land)</t>
  </si>
  <si>
    <t>Table 3. Hotel stays (number of nights)</t>
  </si>
  <si>
    <t>Number of nights</t>
  </si>
  <si>
    <t>Category 7: Employee Commuting</t>
  </si>
  <si>
    <t>Guidance</t>
  </si>
  <si>
    <r>
      <rPr>
        <b/>
        <sz val="10"/>
        <rFont val="Arial"/>
        <family val="2"/>
      </rPr>
      <t xml:space="preserve">Tables 1, 2, and 3 - </t>
    </r>
    <r>
      <rPr>
        <sz val="10"/>
        <rFont val="Arial"/>
        <family val="2"/>
      </rPr>
      <t xml:space="preserve">These tables are for tracking full-time staff, part-time staff, and remote workers, respectively. </t>
    </r>
  </si>
  <si>
    <r>
      <rPr>
        <b/>
        <i/>
        <sz val="10"/>
        <rFont val="Arial"/>
        <family val="2"/>
      </rPr>
      <t>Item Description</t>
    </r>
    <r>
      <rPr>
        <sz val="10"/>
        <rFont val="Arial"/>
        <family val="2"/>
      </rPr>
      <t xml:space="preserve"> - this column is available for any user-specific identifier</t>
    </r>
  </si>
  <si>
    <r>
      <t>Other Description (optional)</t>
    </r>
    <r>
      <rPr>
        <b/>
        <sz val="10"/>
        <rFont val="Arial"/>
        <family val="2"/>
      </rPr>
      <t xml:space="preserve"> </t>
    </r>
    <r>
      <rPr>
        <sz val="10"/>
        <rFont val="Arial"/>
        <family val="2"/>
      </rPr>
      <t xml:space="preserve">- this column is available for any user-specific identifier </t>
    </r>
  </si>
  <si>
    <t>Table 1. Full-time staff (In-person)</t>
  </si>
  <si>
    <t>Number of full-time staff</t>
  </si>
  <si>
    <t>Number of weeks worked per year</t>
  </si>
  <si>
    <t>Average number of days per week for full-time staff</t>
  </si>
  <si>
    <t>Ohio full-time staff</t>
  </si>
  <si>
    <t>Ohio</t>
  </si>
  <si>
    <t>Table 2. Part-time Staff (In-person)</t>
  </si>
  <si>
    <t>Number of part-time staff</t>
  </si>
  <si>
    <t>Average number of days per week for part-time staff</t>
  </si>
  <si>
    <t>Florida part-time staff</t>
  </si>
  <si>
    <t>Florida</t>
  </si>
  <si>
    <t>Table 3. Work from Home  Staff (remote)</t>
  </si>
  <si>
    <t>Number of employees</t>
  </si>
  <si>
    <t>Ohio remote workers</t>
  </si>
  <si>
    <t>Category 8: Upstream Leased Assets &amp; Category 13: Downstream Leased Assets</t>
  </si>
  <si>
    <r>
      <rPr>
        <b/>
        <sz val="10"/>
        <rFont val="Arial"/>
        <family val="2"/>
      </rPr>
      <t xml:space="preserve">Tables 1 and 2 </t>
    </r>
    <r>
      <rPr>
        <sz val="10"/>
        <rFont val="Arial"/>
        <family val="2"/>
      </rPr>
      <t xml:space="preserve">- Estimate emissions associated with any </t>
    </r>
    <r>
      <rPr>
        <b/>
        <i/>
        <sz val="10"/>
        <rFont val="Arial"/>
        <family val="2"/>
      </rPr>
      <t>upstream</t>
    </r>
    <r>
      <rPr>
        <sz val="10"/>
        <rFont val="Arial"/>
        <family val="2"/>
      </rPr>
      <t xml:space="preserve"> and </t>
    </r>
    <r>
      <rPr>
        <b/>
        <i/>
        <sz val="10"/>
        <rFont val="Arial"/>
        <family val="2"/>
      </rPr>
      <t>downstream</t>
    </r>
    <r>
      <rPr>
        <sz val="10"/>
        <rFont val="Arial"/>
        <family val="2"/>
      </rPr>
      <t xml:space="preserve"> leased assets, respectively (see definitions under "</t>
    </r>
    <r>
      <rPr>
        <b/>
        <sz val="10"/>
        <color rgb="FF00B0F0"/>
        <rFont val="Arial"/>
        <family val="2"/>
      </rPr>
      <t>Category Description and Emissions Methodology</t>
    </r>
    <r>
      <rPr>
        <sz val="10"/>
        <rFont val="Arial"/>
        <family val="2"/>
      </rPr>
      <t xml:space="preserve">"). </t>
    </r>
  </si>
  <si>
    <r>
      <rPr>
        <b/>
        <sz val="10"/>
        <rFont val="Arial"/>
        <family val="2"/>
      </rPr>
      <t xml:space="preserve">Tables 1a and 2a are associated with </t>
    </r>
    <r>
      <rPr>
        <b/>
        <sz val="10"/>
        <color rgb="FF0000FF"/>
        <rFont val="Arial"/>
        <family val="2"/>
      </rPr>
      <t>inpatient care facilities</t>
    </r>
    <r>
      <rPr>
        <b/>
        <sz val="10"/>
        <rFont val="Arial"/>
        <family val="2"/>
      </rPr>
      <t xml:space="preserve"> and Tables 1b and 2b are associated with </t>
    </r>
    <r>
      <rPr>
        <b/>
        <sz val="10"/>
        <color rgb="FF00B050"/>
        <rFont val="Arial"/>
        <family val="2"/>
      </rPr>
      <t>outpatient care facilities</t>
    </r>
    <r>
      <rPr>
        <sz val="10"/>
        <rFont val="Arial"/>
        <family val="2"/>
      </rPr>
      <t xml:space="preserve">. </t>
    </r>
  </si>
  <si>
    <r>
      <t>Outpatient Type (</t>
    </r>
    <r>
      <rPr>
        <b/>
        <sz val="10"/>
        <rFont val="Arial"/>
        <family val="2"/>
      </rPr>
      <t>Table 1b and Table 2b only</t>
    </r>
    <r>
      <rPr>
        <b/>
        <i/>
        <sz val="10"/>
        <rFont val="Arial"/>
        <family val="2"/>
      </rPr>
      <t xml:space="preserve">) </t>
    </r>
    <r>
      <rPr>
        <sz val="10"/>
        <rFont val="Arial"/>
        <family val="2"/>
      </rPr>
      <t xml:space="preserve">- user should select from drop-down options </t>
    </r>
    <r>
      <rPr>
        <b/>
        <i/>
        <sz val="10"/>
        <rFont val="Arial"/>
        <family val="2"/>
      </rPr>
      <t>office (diagnostic)</t>
    </r>
    <r>
      <rPr>
        <sz val="10"/>
        <rFont val="Arial"/>
        <family val="2"/>
      </rPr>
      <t xml:space="preserve"> </t>
    </r>
    <r>
      <rPr>
        <u/>
        <sz val="10"/>
        <rFont val="Arial"/>
        <family val="2"/>
      </rPr>
      <t>or</t>
    </r>
    <r>
      <rPr>
        <sz val="10"/>
        <rFont val="Arial"/>
        <family val="2"/>
      </rPr>
      <t xml:space="preserve"> </t>
    </r>
    <r>
      <rPr>
        <b/>
        <i/>
        <sz val="10"/>
        <rFont val="Arial"/>
        <family val="2"/>
      </rPr>
      <t>clinic or other outpatient</t>
    </r>
  </si>
  <si>
    <r>
      <t>Square Footage of Leased Asset</t>
    </r>
    <r>
      <rPr>
        <sz val="10"/>
        <rFont val="Arial"/>
        <family val="2"/>
      </rPr>
      <t xml:space="preserve"> - user should enter the building square footage</t>
    </r>
  </si>
  <si>
    <r>
      <t xml:space="preserve">Table 1a. Upstream Leased Assets - </t>
    </r>
    <r>
      <rPr>
        <b/>
        <i/>
        <sz val="14"/>
        <color rgb="FF0000FF"/>
        <rFont val="Arial"/>
        <family val="2"/>
        <scheme val="minor"/>
      </rPr>
      <t>inpatient care facilities</t>
    </r>
  </si>
  <si>
    <t>Square Footage of Leased Asset</t>
  </si>
  <si>
    <t>Electricity Usage (kWh)</t>
  </si>
  <si>
    <t>Natural Gas Usage (therms)</t>
  </si>
  <si>
    <t>Building A</t>
  </si>
  <si>
    <r>
      <t xml:space="preserve">Table 1b. Upstream Leased Assets - </t>
    </r>
    <r>
      <rPr>
        <b/>
        <i/>
        <sz val="14"/>
        <color rgb="FF00B050"/>
        <rFont val="Arial"/>
        <family val="2"/>
        <scheme val="minor"/>
      </rPr>
      <t>outpatient care facilities</t>
    </r>
  </si>
  <si>
    <t xml:space="preserve">Clinic or other outpatient </t>
  </si>
  <si>
    <r>
      <t xml:space="preserve">Table 2a. Downstream Leased Assets - </t>
    </r>
    <r>
      <rPr>
        <b/>
        <i/>
        <sz val="14"/>
        <color rgb="FF0000FF"/>
        <rFont val="Arial"/>
        <family val="2"/>
        <scheme val="minor"/>
      </rPr>
      <t>inpatient care facilities</t>
    </r>
  </si>
  <si>
    <t>Building C</t>
  </si>
  <si>
    <r>
      <t xml:space="preserve">Table 2b. Downstream Leased Assets - </t>
    </r>
    <r>
      <rPr>
        <b/>
        <i/>
        <sz val="14"/>
        <color rgb="FF00B050"/>
        <rFont val="Arial"/>
        <family val="2"/>
        <scheme val="minor"/>
      </rPr>
      <t>outpatient care facilities</t>
    </r>
  </si>
  <si>
    <t>Office (diagnostic) </t>
  </si>
  <si>
    <t>Category 9: Patient Visits &amp; Telehealth [Downstream Transportation &amp; Distribution]</t>
  </si>
  <si>
    <r>
      <rPr>
        <b/>
        <sz val="10"/>
        <rFont val="Arial"/>
        <family val="2"/>
      </rPr>
      <t xml:space="preserve">Tables 1, 2, and 3 </t>
    </r>
    <r>
      <rPr>
        <sz val="10"/>
        <rFont val="Arial"/>
        <family val="2"/>
      </rPr>
      <t xml:space="preserve">- Estimate emissions associated with any inpatient and outpatient travel (Tables 1 and 2), and remote Telehealth visits. </t>
    </r>
  </si>
  <si>
    <r>
      <rPr>
        <b/>
        <i/>
        <sz val="10"/>
        <rFont val="Arial"/>
        <family val="2"/>
      </rPr>
      <t>State (or select "US Average")</t>
    </r>
    <r>
      <rPr>
        <sz val="10"/>
        <rFont val="Arial"/>
        <family val="2"/>
      </rPr>
      <t xml:space="preserve"> - select the US State in which the patient visits occur</t>
    </r>
  </si>
  <si>
    <r>
      <t>Total Patient Visits</t>
    </r>
    <r>
      <rPr>
        <b/>
        <sz val="10"/>
        <rFont val="Arial"/>
        <family val="2"/>
      </rPr>
      <t xml:space="preserve"> </t>
    </r>
    <r>
      <rPr>
        <sz val="10"/>
        <rFont val="Arial"/>
        <family val="2"/>
      </rPr>
      <t>- this column should be used to identify the total number of patient visits</t>
    </r>
  </si>
  <si>
    <t>Table 1. Inpatient Visits (In-person)</t>
  </si>
  <si>
    <t>Total Patient Visits</t>
  </si>
  <si>
    <t>inpatient visits</t>
  </si>
  <si>
    <t>Table 2. Outpatient Visits (In-person)</t>
  </si>
  <si>
    <t>outpatient visits</t>
  </si>
  <si>
    <t>Table 3. Telehealth Visits (remote)</t>
  </si>
  <si>
    <t>Number of visits</t>
  </si>
  <si>
    <t>Average length of visit (minutes)</t>
  </si>
  <si>
    <t>annual telehealth visits</t>
  </si>
  <si>
    <t>Commutes Across America (Streetlightdata)</t>
  </si>
  <si>
    <t>https://www.bts.gov/browse-statistical-products-and-data/state-transportation-statistics/commute-mode</t>
  </si>
  <si>
    <t>https://www.streetlightdata.com/wp-content/uploads/2018/03/Commutes-Across-America_180201.pdf</t>
  </si>
  <si>
    <t>State</t>
  </si>
  <si>
    <t>Mode</t>
  </si>
  <si>
    <t>Commute mode share (percent)</t>
  </si>
  <si>
    <t>State Name</t>
  </si>
  <si>
    <t>Median 1-way Commute (mi)</t>
  </si>
  <si>
    <t>Median round-trip commute (mi)</t>
  </si>
  <si>
    <t>kg CO2e per employee per work day</t>
  </si>
  <si>
    <t>Commute Mode</t>
  </si>
  <si>
    <t xml:space="preserve">Notes </t>
  </si>
  <si>
    <t>Level 1</t>
  </si>
  <si>
    <t>Level 2</t>
  </si>
  <si>
    <t>Level 3</t>
  </si>
  <si>
    <t>Level 4</t>
  </si>
  <si>
    <t>Column Text</t>
  </si>
  <si>
    <t>UOM</t>
  </si>
  <si>
    <t>Sum of kg CO2e per unit (bioenergy only; AR5)</t>
  </si>
  <si>
    <t>Sum of kg CO2 per unit</t>
  </si>
  <si>
    <t>Sum of kg CH4 per unit</t>
  </si>
  <si>
    <t>Sum of kg N2O per unit</t>
  </si>
  <si>
    <t>Source:</t>
  </si>
  <si>
    <t>Drove alone</t>
  </si>
  <si>
    <t>Alabama</t>
  </si>
  <si>
    <t>(blank)</t>
  </si>
  <si>
    <t>miles</t>
  </si>
  <si>
    <t>Carpool</t>
  </si>
  <si>
    <t>Alaska</t>
  </si>
  <si>
    <t>assume US Average</t>
  </si>
  <si>
    <t>Using assumption of 2.25 people per carpool from CA DOT. Using the "drove alone" EF divided by 2.25</t>
  </si>
  <si>
    <t>AFDC Fuel Types</t>
  </si>
  <si>
    <t>DESNZ vehicle type</t>
  </si>
  <si>
    <t>Worked at home</t>
  </si>
  <si>
    <t>Arizona</t>
  </si>
  <si>
    <t>Assumes 140 Watts per workstation and 10 Watts for lighting, 8 hour work day, and State-specific electricity-based EFs (per DEFRA "homeworking" referenced whitepaper "Homeworking emissions Whitepaper"from EcoAct, page 10)</t>
  </si>
  <si>
    <t>Petrol</t>
  </si>
  <si>
    <t>Public transportation</t>
  </si>
  <si>
    <t>Arkansas</t>
  </si>
  <si>
    <t>Taxi, motorcycle, or other</t>
  </si>
  <si>
    <t>California</t>
  </si>
  <si>
    <t>HEV</t>
  </si>
  <si>
    <t>Hybrid</t>
  </si>
  <si>
    <t>Walked</t>
  </si>
  <si>
    <t>Colorado</t>
  </si>
  <si>
    <t>Cars (by size)</t>
  </si>
  <si>
    <t>Average car</t>
  </si>
  <si>
    <t>Bicycle</t>
  </si>
  <si>
    <t>Connecticut</t>
  </si>
  <si>
    <t>Delaware</t>
  </si>
  <si>
    <t>PHEV</t>
  </si>
  <si>
    <t>https://afdc.energy.gov/vehicle-registration</t>
  </si>
  <si>
    <t>EV</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</si>
  <si>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</si>
  <si>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</si>
  <si>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</si>
  <si>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</si>
  <si>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</si>
  <si>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</si>
  <si>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</si>
  <si>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</si>
  <si>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</si>
  <si>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</si>
  <si>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</si>
  <si>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</si>
  <si>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</si>
  <si>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</si>
  <si>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</si>
  <si>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</si>
  <si>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</si>
  <si>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</si>
  <si>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</si>
  <si>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</si>
  <si>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</si>
  <si>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</si>
  <si>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</si>
  <si>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</si>
  <si>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</si>
  <si>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</si>
  <si>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</si>
  <si>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</si>
  <si>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</si>
  <si>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</si>
  <si>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</si>
  <si>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</si>
  <si>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</si>
  <si>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</si>
  <si>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</si>
  <si>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</si>
  <si>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</si>
  <si>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</si>
  <si>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</si>
  <si>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District of Columbia</t>
  </si>
  <si>
    <t>AK</t>
  </si>
  <si>
    <t>Office station electricity consumption</t>
  </si>
  <si>
    <t>1 kg =</t>
  </si>
  <si>
    <t>pounds</t>
  </si>
  <si>
    <t>AL</t>
  </si>
  <si>
    <t>Watts</t>
  </si>
  <si>
    <t>AR</t>
  </si>
  <si>
    <t>AZ</t>
  </si>
  <si>
    <t>CA</t>
  </si>
  <si>
    <t>CO</t>
  </si>
  <si>
    <t>CT</t>
  </si>
  <si>
    <t>DC</t>
  </si>
  <si>
    <t>DE</t>
  </si>
  <si>
    <t>FL</t>
  </si>
  <si>
    <t>GA</t>
  </si>
  <si>
    <t>HI</t>
  </si>
  <si>
    <t>IA</t>
  </si>
  <si>
    <t>IL</t>
  </si>
  <si>
    <t>IN</t>
  </si>
  <si>
    <t>KS</t>
  </si>
  <si>
    <t>KY</t>
  </si>
  <si>
    <t>LA</t>
  </si>
  <si>
    <t>MA</t>
  </si>
  <si>
    <t>MD</t>
  </si>
  <si>
    <t>ME</t>
  </si>
  <si>
    <t>MI</t>
  </si>
  <si>
    <t>MN</t>
  </si>
  <si>
    <t>MO</t>
  </si>
  <si>
    <t>MS</t>
  </si>
  <si>
    <t>MT</t>
  </si>
  <si>
    <t>NC</t>
  </si>
  <si>
    <t>ND</t>
  </si>
  <si>
    <t>NE</t>
  </si>
  <si>
    <t>NH</t>
  </si>
  <si>
    <t>NJ</t>
  </si>
  <si>
    <t>NM</t>
  </si>
  <si>
    <t>NV</t>
  </si>
  <si>
    <t>NY</t>
  </si>
  <si>
    <t>OH</t>
  </si>
  <si>
    <t>OK</t>
  </si>
  <si>
    <t>OR</t>
  </si>
  <si>
    <t>PA</t>
  </si>
  <si>
    <t>RI</t>
  </si>
  <si>
    <t>SC</t>
  </si>
  <si>
    <t>SD</t>
  </si>
  <si>
    <t>TN</t>
  </si>
  <si>
    <t>TX</t>
  </si>
  <si>
    <t>UT</t>
  </si>
  <si>
    <t>VA</t>
  </si>
  <si>
    <t>VT</t>
  </si>
  <si>
    <t>WA</t>
  </si>
  <si>
    <t>WI</t>
  </si>
  <si>
    <t>WV</t>
  </si>
  <si>
    <t>WY</t>
  </si>
  <si>
    <t>Select --&gt;</t>
  </si>
  <si>
    <t>AR6</t>
  </si>
  <si>
    <t>carbon dioxide</t>
  </si>
  <si>
    <t>AR4</t>
  </si>
  <si>
    <t>AR5</t>
  </si>
  <si>
    <t>methane</t>
  </si>
  <si>
    <t>nitrous oxide</t>
  </si>
  <si>
    <t>From Table 7.15 of IPCC's Sixth Assessment Report for "fossil"</t>
  </si>
  <si>
    <t>Notes &amp; Sources</t>
  </si>
  <si>
    <t>These are GWP values for 100-year time horizon</t>
  </si>
  <si>
    <t xml:space="preserve">Other GHGs include a wide variety of other HFCs, perflourinated compounds, refrigerants, and other substances combined and translated into CO2e using AR4 GWPs. This step is completed by the EPA </t>
  </si>
  <si>
    <t>Source: GHG Protocol, Global Warming Potential Values. https://ghgprotocol.org/sites/default/files/ghgp/Global-Warming-Potential-Values%20%28Feb%2016%202016%29_1.pdf</t>
  </si>
  <si>
    <t>Energy Information Administration (EIA)- Commercial Buildings Energy Consumption Survey (CBECS) Data</t>
  </si>
  <si>
    <t>Table C22. Electricity consumption totals and conditional intensities by building activity subcategories, 2018</t>
  </si>
  <si>
    <t xml:space="preserve">Health care </t>
  </si>
  <si>
    <t xml:space="preserve">Inpatient </t>
  </si>
  <si>
    <t xml:space="preserve">Outpatient </t>
  </si>
  <si>
    <t>Table C32. Natural consumption totals and conditional intensities by building activity subcategories,  2018</t>
  </si>
  <si>
    <t>cubic ft / sq ft</t>
  </si>
  <si>
    <t>therms/ sq ft</t>
  </si>
  <si>
    <t>https://www.eia.gov/energyexplained/natural-gas/where-our-natural-gas-comes-from.php</t>
  </si>
  <si>
    <t>Natural Gas Emission Factors</t>
  </si>
  <si>
    <r>
      <t>kg CO</t>
    </r>
    <r>
      <rPr>
        <vertAlign val="subscript"/>
        <sz val="11"/>
        <color rgb="FF002060"/>
        <rFont val="Arial"/>
        <family val="2"/>
        <scheme val="minor"/>
      </rPr>
      <t>2</t>
    </r>
    <r>
      <rPr>
        <sz val="11"/>
        <color rgb="FF002060"/>
        <rFont val="Arial"/>
        <family val="2"/>
        <scheme val="minor"/>
      </rPr>
      <t>e of CO</t>
    </r>
    <r>
      <rPr>
        <vertAlign val="subscript"/>
        <sz val="11"/>
        <color rgb="FF002060"/>
        <rFont val="Arial"/>
        <family val="2"/>
        <scheme val="minor"/>
      </rPr>
      <t>2</t>
    </r>
    <r>
      <rPr>
        <sz val="11"/>
        <color rgb="FF002060"/>
        <rFont val="Arial"/>
        <family val="2"/>
        <scheme val="minor"/>
      </rPr>
      <t xml:space="preserve"> per unit</t>
    </r>
  </si>
  <si>
    <r>
      <t>kg CO</t>
    </r>
    <r>
      <rPr>
        <vertAlign val="subscript"/>
        <sz val="11"/>
        <color rgb="FF002060"/>
        <rFont val="Arial"/>
        <family val="2"/>
        <scheme val="minor"/>
      </rPr>
      <t>2</t>
    </r>
    <r>
      <rPr>
        <sz val="11"/>
        <color rgb="FF002060"/>
        <rFont val="Arial"/>
        <family val="2"/>
        <scheme val="minor"/>
      </rPr>
      <t>e of CH</t>
    </r>
    <r>
      <rPr>
        <vertAlign val="subscript"/>
        <sz val="11"/>
        <color rgb="FF002060"/>
        <rFont val="Arial"/>
        <family val="2"/>
        <scheme val="minor"/>
      </rPr>
      <t>4</t>
    </r>
    <r>
      <rPr>
        <sz val="11"/>
        <color rgb="FF002060"/>
        <rFont val="Arial"/>
        <family val="2"/>
        <scheme val="minor"/>
      </rPr>
      <t xml:space="preserve"> per unit</t>
    </r>
  </si>
  <si>
    <r>
      <t>kg CO</t>
    </r>
    <r>
      <rPr>
        <vertAlign val="subscript"/>
        <sz val="11"/>
        <color rgb="FF002060"/>
        <rFont val="Arial"/>
        <family val="2"/>
        <scheme val="minor"/>
      </rPr>
      <t>2</t>
    </r>
    <r>
      <rPr>
        <sz val="11"/>
        <color rgb="FF002060"/>
        <rFont val="Arial"/>
        <family val="2"/>
        <scheme val="minor"/>
      </rPr>
      <t>e of N</t>
    </r>
    <r>
      <rPr>
        <vertAlign val="subscript"/>
        <sz val="11"/>
        <color rgb="FF002060"/>
        <rFont val="Arial"/>
        <family val="2"/>
        <scheme val="minor"/>
      </rPr>
      <t>2</t>
    </r>
    <r>
      <rPr>
        <sz val="11"/>
        <color rgb="FF002060"/>
        <rFont val="Arial"/>
        <family val="2"/>
        <scheme val="minor"/>
      </rPr>
      <t>O per unit</t>
    </r>
  </si>
  <si>
    <t>Table 1 - Stationary Combustion</t>
  </si>
  <si>
    <t>tonnes</t>
  </si>
  <si>
    <t>https://www.epa.gov/system/files/documents/2022-04/ghg_emission_factors_hub.pdf</t>
  </si>
  <si>
    <t>kWh (Net CV)</t>
  </si>
  <si>
    <t>kg CO2 per therm</t>
  </si>
  <si>
    <t>g CH4 per therm</t>
  </si>
  <si>
    <t>g N2O per therm</t>
  </si>
  <si>
    <t>kg CO2e per therm</t>
  </si>
  <si>
    <t>Natural gas
(100% mineral blend)</t>
  </si>
  <si>
    <r>
      <t>kg CO</t>
    </r>
    <r>
      <rPr>
        <vertAlign val="subscript"/>
        <sz val="11"/>
        <color indexed="56"/>
        <rFont val="Calibri"/>
        <family val="2"/>
      </rPr>
      <t>2</t>
    </r>
    <r>
      <rPr>
        <sz val="11"/>
        <color indexed="56"/>
        <rFont val="Calibri"/>
        <family val="2"/>
      </rPr>
      <t>e</t>
    </r>
    <r>
      <rPr>
        <sz val="11"/>
        <color rgb="FF002060"/>
        <rFont val="Arial"/>
        <family val="2"/>
        <scheme val="minor"/>
      </rPr>
      <t xml:space="preserve"> per unit</t>
    </r>
  </si>
  <si>
    <r>
      <t>kg CO</t>
    </r>
    <r>
      <rPr>
        <vertAlign val="subscript"/>
        <sz val="11"/>
        <color rgb="FF002060"/>
        <rFont val="Arial"/>
        <family val="2"/>
        <scheme val="minor"/>
      </rPr>
      <t>2</t>
    </r>
    <r>
      <rPr>
        <sz val="11"/>
        <color rgb="FF002060"/>
        <rFont val="Arial"/>
        <family val="2"/>
        <scheme val="minor"/>
      </rPr>
      <t xml:space="preserve"> per unit</t>
    </r>
  </si>
  <si>
    <r>
      <t>kg CH</t>
    </r>
    <r>
      <rPr>
        <vertAlign val="subscript"/>
        <sz val="11"/>
        <color rgb="FF002060"/>
        <rFont val="Arial"/>
        <family val="2"/>
        <scheme val="minor"/>
      </rPr>
      <t>4</t>
    </r>
    <r>
      <rPr>
        <sz val="11"/>
        <color rgb="FF002060"/>
        <rFont val="Arial"/>
        <family val="2"/>
        <scheme val="minor"/>
      </rPr>
      <t xml:space="preserve"> per unit</t>
    </r>
  </si>
  <si>
    <r>
      <t>kg N</t>
    </r>
    <r>
      <rPr>
        <vertAlign val="subscript"/>
        <sz val="11"/>
        <color rgb="FF002060"/>
        <rFont val="Arial"/>
        <family val="2"/>
        <scheme val="minor"/>
      </rPr>
      <t>2</t>
    </r>
    <r>
      <rPr>
        <sz val="11"/>
        <color rgb="FF002060"/>
        <rFont val="Arial"/>
        <family val="2"/>
        <scheme val="minor"/>
      </rPr>
      <t>O per unit</t>
    </r>
  </si>
  <si>
    <t>converted from cubic meters</t>
  </si>
  <si>
    <t>converted from kWh (Gross CV)</t>
  </si>
  <si>
    <r>
      <rPr>
        <b/>
        <sz val="11"/>
        <color rgb="FF002060"/>
        <rFont val="Arial"/>
        <family val="2"/>
        <scheme val="minor"/>
      </rPr>
      <t>WTT</t>
    </r>
    <r>
      <rPr>
        <sz val="11"/>
        <color rgb="FF002060"/>
        <rFont val="Arial"/>
        <family val="2"/>
        <scheme val="minor"/>
      </rPr>
      <t xml:space="preserve"> kg CO</t>
    </r>
    <r>
      <rPr>
        <vertAlign val="subscript"/>
        <sz val="11"/>
        <color indexed="56"/>
        <rFont val="Calibri"/>
        <family val="2"/>
      </rPr>
      <t>2</t>
    </r>
    <r>
      <rPr>
        <sz val="11"/>
        <color indexed="56"/>
        <rFont val="Calibri"/>
        <family val="2"/>
      </rPr>
      <t>e</t>
    </r>
    <r>
      <rPr>
        <sz val="11"/>
        <color rgb="FF002060"/>
        <rFont val="Arial"/>
        <family val="2"/>
        <scheme val="minor"/>
      </rPr>
      <t xml:space="preserve"> 
(based on AR5)</t>
    </r>
  </si>
  <si>
    <t>1 Therm =</t>
  </si>
  <si>
    <t>kBTU</t>
  </si>
  <si>
    <t>1 cubic meters =</t>
  </si>
  <si>
    <t>https://portfoliomanager.energystar.gov/pdf/reference/Thermal%20Conversions.pdf</t>
  </si>
  <si>
    <r>
      <rPr>
        <b/>
        <sz val="10"/>
        <rFont val="Arial"/>
        <family val="2"/>
      </rPr>
      <t xml:space="preserve">Tables 1 and 2 - </t>
    </r>
    <r>
      <rPr>
        <sz val="10"/>
        <rFont val="Arial"/>
        <family val="2"/>
      </rPr>
      <t xml:space="preserve">These tables are for tracking inhalers with HFC-227ea and with HFC-134a, respectively. </t>
    </r>
  </si>
  <si>
    <r>
      <rPr>
        <b/>
        <i/>
        <sz val="10"/>
        <rFont val="Arial"/>
        <family val="2"/>
      </rPr>
      <t>Product Name or Group (optional)</t>
    </r>
    <r>
      <rPr>
        <sz val="10"/>
        <rFont val="Arial"/>
        <family val="2"/>
      </rPr>
      <t xml:space="preserve"> - for the user to track various products</t>
    </r>
  </si>
  <si>
    <r>
      <rPr>
        <b/>
        <i/>
        <sz val="10"/>
        <rFont val="Arial"/>
        <family val="2"/>
      </rPr>
      <t>Other Description (optional)</t>
    </r>
    <r>
      <rPr>
        <b/>
        <sz val="10"/>
        <rFont val="Arial"/>
        <family val="2"/>
      </rPr>
      <t xml:space="preserve"> </t>
    </r>
    <r>
      <rPr>
        <sz val="10"/>
        <rFont val="Arial"/>
        <family val="2"/>
      </rPr>
      <t xml:space="preserve">- this column is available for any user-specific identifier </t>
    </r>
  </si>
  <si>
    <r>
      <rPr>
        <b/>
        <i/>
        <sz val="10"/>
        <rFont val="Arial"/>
        <family val="2"/>
      </rPr>
      <t>Number of Units with GHG propellant</t>
    </r>
    <r>
      <rPr>
        <sz val="10"/>
        <rFont val="Arial"/>
        <family val="2"/>
      </rPr>
      <t xml:space="preserve"> - enter the overall number of units for each specific product</t>
    </r>
  </si>
  <si>
    <r>
      <rPr>
        <b/>
        <i/>
        <sz val="10"/>
        <rFont val="Arial"/>
        <family val="2"/>
      </rPr>
      <t xml:space="preserve">Mass of GHG propellant per unit (grams) </t>
    </r>
    <r>
      <rPr>
        <i/>
        <sz val="10"/>
        <rFont val="Arial"/>
        <family val="2"/>
      </rPr>
      <t>- enter the mass of propellant (in grams) in each unit</t>
    </r>
  </si>
  <si>
    <t>Table 1. Inhalers using HFC-227ea as propellant</t>
  </si>
  <si>
    <t>Product Name or Group (optional)</t>
  </si>
  <si>
    <t>Other Description (optional)</t>
  </si>
  <si>
    <t>Number of Units with GHG propellant</t>
  </si>
  <si>
    <t>Mass of GHG propellant per unit (grams)</t>
  </si>
  <si>
    <t>ALBUTEROL SULF HFA 90 MCG INH 18 GM</t>
  </si>
  <si>
    <t>Table 2. Inhalers using HFC-134a as propellant</t>
  </si>
  <si>
    <t>ADVAIR HFA 45/ 21MCG INH 12 GM</t>
  </si>
  <si>
    <t>2373: Highway, Street, and Bridge Construction</t>
  </si>
  <si>
    <t>4811: Scheduled Air Transportation</t>
  </si>
  <si>
    <t>4821: Rail Transportation</t>
  </si>
  <si>
    <t>4831: Deep Sea, Coastal, and Great Lakes Water Transportation</t>
  </si>
  <si>
    <t>4841: General Freight Trucking</t>
  </si>
  <si>
    <t>4859: Other Transit and Ground Passenger Transportation</t>
  </si>
  <si>
    <t>4869: Other Pipeline Transportation</t>
  </si>
  <si>
    <t>4911: Postal Service</t>
  </si>
  <si>
    <t>4921: Couriers and Express Delivery Services</t>
  </si>
  <si>
    <t>4931: Warehousing and Storage</t>
  </si>
  <si>
    <t>5416: Management, Scientific, and Technical Consulting Services</t>
  </si>
  <si>
    <t>5417: Scientific Research and Development Services</t>
  </si>
  <si>
    <t>5418: Advertising, Public Relations, and Related Services</t>
  </si>
  <si>
    <t>5419: Other Professional, Scientific, and Technical Services</t>
  </si>
  <si>
    <t>5511: Management of Companies and Enterprises</t>
  </si>
  <si>
    <r>
      <rPr>
        <b/>
        <i/>
        <sz val="10"/>
        <rFont val="Arial"/>
        <family val="2"/>
      </rPr>
      <t>Investee company’s sector(s) of operation</t>
    </r>
    <r>
      <rPr>
        <sz val="10"/>
        <rFont val="Arial"/>
        <family val="2"/>
      </rPr>
      <t xml:space="preserve"> - select from ≈200 different sectors of the economy in which the investee is engaged</t>
    </r>
    <r>
      <rPr>
        <i/>
        <sz val="10"/>
        <rFont val="Arial"/>
        <family val="2"/>
      </rPr>
      <t xml:space="preserve"> (see adjacent tab: "Cat 15 descriptions")</t>
    </r>
  </si>
  <si>
    <r>
      <rPr>
        <b/>
        <sz val="10"/>
        <rFont val="Arial"/>
        <family val="2"/>
      </rPr>
      <t>Total Revenue of Investee in reporting year (in given sector)</t>
    </r>
    <r>
      <rPr>
        <sz val="10"/>
        <rFont val="Arial"/>
        <family val="2"/>
      </rPr>
      <t xml:space="preserve"> - data likely available from equity manager or from individual investee 10-K financial document</t>
    </r>
  </si>
  <si>
    <r>
      <t>Total EVIC (enterprise value including cash) of investee in reporting year ($)</t>
    </r>
    <r>
      <rPr>
        <sz val="10"/>
        <rFont val="Arial"/>
        <family val="2"/>
      </rPr>
      <t xml:space="preserve"> - this is the total valuation of the investee in reporting year</t>
    </r>
  </si>
  <si>
    <r>
      <rPr>
        <b/>
        <i/>
        <sz val="10"/>
        <rFont val="Arial"/>
        <family val="2"/>
      </rPr>
      <t>Total invested with investee during year of inventory ($)</t>
    </r>
    <r>
      <rPr>
        <b/>
        <sz val="10"/>
        <rFont val="Arial"/>
        <family val="2"/>
      </rPr>
      <t xml:space="preserve"> </t>
    </r>
    <r>
      <rPr>
        <sz val="10"/>
        <rFont val="Arial"/>
        <family val="2"/>
      </rPr>
      <t>- identify the funds invested in the reporting year</t>
    </r>
  </si>
  <si>
    <t>Investee organization</t>
  </si>
  <si>
    <t>Investee organization’s sector(s) of operation</t>
  </si>
  <si>
    <t>Total EVIC (enterprise value including cash) of investee in reporting year ($)</t>
  </si>
  <si>
    <t>Total invested with investee in reporting year ($)</t>
  </si>
  <si>
    <t>Emission Factor
(kg CO2e/$) - inflation adjusted</t>
  </si>
  <si>
    <t>Category 15: Investments - Industry Descriptions</t>
  </si>
  <si>
    <t>Industry Name</t>
  </si>
  <si>
    <t>Industry Description</t>
  </si>
  <si>
    <t xml:space="preserve">Oilseed farming. This industry comprises establishments primarily engaged in growing oilseed crops. These crops have an annual life cycle and are typically grown in open fields. </t>
  </si>
  <si>
    <t xml:space="preserve">Animal production, except cattle and poultry and eggs'. Industries in the Animal Production and Aquaculture subsector raise or fatten animals for the sale of animals or animal products and/or raise aquatic plants and animals in controlled or selected aquatic environments for the sale of aquatic plants, animals, or their products. The subsector includes establishments, such as ranches, farms, and feedlots, primarily engaged in keeping, grazing, breeding, or feeding animals. These animals are kept for the products they produce or for eventual sale. The animals are generally raised in various environments, from total confinement or captivity to feeding on an open range pasture.  The industries in this subsector are grouped by important factors, such as suitable grazing or pasture land, specialized buildings, type of equipment, and the amount and types of labor required. Establishments are classified in the Animal Production and Aquaculture subsector when animal production (i.e., value of animals for market) accounts for one-half or more of the establishment's total agricultural production. Establishments with one-half or more animal production with no one animal product or family of animal products of an industry accounting for one-half of the establishment's agricultural production are treated as combination animal farming classified in Industry 11299, All Other Animal Production. </t>
  </si>
  <si>
    <t xml:space="preserve">Transportation structures and highways and streets'. This industry comprises construction of transportation structures, including bridges, roads, highways, and streets. </t>
  </si>
  <si>
    <t xml:space="preserve">Building material and garden equipment and supplies dealers. This industry group comprises (1) Building Material and Supplies Dealers and (2) Lawn and Garden Equipment and Supplies Stores. </t>
  </si>
  <si>
    <t xml:space="preserve">Health and personal care stores. This industry group comprises Health and Personal Care Stores. </t>
  </si>
  <si>
    <t xml:space="preserve">Gasoline stations. This industry group comprises Gasoline Stations. </t>
  </si>
  <si>
    <t xml:space="preserve">Clothing and clothing accessories stores. This industry group comprises Clothing and Clothing Accessories Stores. </t>
  </si>
  <si>
    <t xml:space="preserve">Nonstore retailers. This industry group comprises Nonstore Retailers. </t>
  </si>
  <si>
    <t>Truck transportation'. Industries in the Truck Transportation subsector provide over-the-road transportation of cargo using motor vehicles, such as trucks and tractor trailers. The subsector is subdivided into general freight trucking and specialized freight trucking. This distinction reflects differences in equipment used, type of load carried, scheduling, terminal, and other networking services. General freight transportation establishments handle a wide variety of general commodities, generally palletized, and transported in a container or van trailer. Specialized freight transportation is the transportation of cargo that, because of size, weight, shape, or other inherent characteristics require specialized equipment for transportation. Each of these industry groups is further subdivided based on distance traveled. Local trucking establishments primarily carry goods within a single metropolitan area and its adjacent nonurban areas. Long distance trucking establishments carry goods between metropolitan areas. The Specialized Freight Trucking industry group includes a separate industry for Used Household and Office Goods Moving. The household and office goods movers are separated because of the substantial network of establishments that has developed to deal with local and long-distance moving and the associated storage. In this area, the same establishment provides both local and long-distance services, while other specialized freight establishments generally limit their services to either local or long-distance hauling.</t>
  </si>
  <si>
    <t>Pipeline transportation'. Industries in the Pipeline Transportation subsector use transmission pipelines to transport products, such as crude oil, natural gas, refined petroleum products, and slurry. Industries are identified based on the products transported (i.e., pipeline transportation of crude oil, natural gas, refined petroleum products, and other products). The Pipeline Transportation of Natural Gas industry includes the storage of natural gas because the storage is usually done by the pipeline establishment and because a pipeline is inherently a network in which all the nodes are interdependent.</t>
  </si>
  <si>
    <t>Postal service'. The Postal Service subsector includes the activities of the National Post Office and its subcontractors operating under a universal service obligation to provide mail services, and using the infrastructure required to fulfill that obligation. These services include delivering letters and small parcels. These articles can be described as those that can be handled by one person without using special equipment. This allows the collection, pick-up, and delivery operations to be done with limited labor costs and minimal equipment. Sorting and transportation activities, where necessary, are generally mechanized. The restriction to small parcels distinguishes these establishments from those in the transportation industries. These establishments may also provide express delivery services using the infrastructure established for provision of basic mail services. The traditional activity of the National Postal Service is described in this subsector. Subcontractors include rural post offices on contract to the Postal Service. Bulk transportation of mail on contract to the Postal Service is not included here, because it is usually done by transportation establishments that carry other customers' cargo as well. Establishments that provide courier and express delivery services without operating under a universal service obligation are classified in subsector 492, Couriers and Messengers.</t>
  </si>
  <si>
    <t>Couriers and messengers'. Industries in the Couriers and Messengers subsector provide intercity and/or local delivery of parcels and documents (including express delivery services) without operating under a universal service obligation. These articles can be described as those that may be handled by one person without using special equipment. This allows the collection, pick-up, and delivery operations to be done with limited labor costs and minimal equipment. Sorting and transportation activities, where necessary, are generally mechanized. The restriction to small parcels partly distinguishes these establishments from those in the transportation industries. The complete network of courier services establishments also distinguishes these transportation services from local messenger and delivery establishments in this subsector. This includes the establishments that perform intercity transportation as well as establishments that, under contract to them, perform local pick-up and delivery. Messengers, which usually deliver within a metropolitan or single urban area, may use bicycle, foot, small truck, or van.</t>
  </si>
  <si>
    <t>Warehousing and storage'. Industries in the Warehousing and Storage subsector are primarily engaged in operating warehousing and storage facilities for general merchandise, refrigerated goods, and other warehouse products. These establishments provide facilities to store goods. They do not sell the goods they handle. These establishments take responsibility for storing the goods and keeping them secure. They may also provide a range of services, often referred to as logistics services, related to the distribution of goods. Logistics services can include labeling, breaking bulk, inventory control and management, light assembly, order entry and fulfillment, packaging, pick and pack, price marking and ticketing, and transportation arrangement. However, establishments in this industry group always provide warehousing or storage services in addition to any logistic services. Furthermore, the warehousing or storage of goods must be more than incidental to the performance of services, such as price marking. Bonded warehousing and storage services and warehouses located in free trade zones are included in the industries of this subsector.</t>
  </si>
  <si>
    <t xml:space="preserve">Satellite, telecommunications resellers, and all other telecommunications'. Industries in the Telecommunications subsector group establishments that provide telecommunications and the services related to that activity (e.g., telephony, including Voice over Internet Protocol (VoIP); cable and satellite television distribution services; Internet access; telecommunications reselling services). The Telecommunications subsector is primarily engaged in operating, and/or providing access to facilities for the transmission of voice, data, text, sound, and video. Transmission facilities may be based on a single technology or a combination of technologies. Establishments in the Telecommunications subsector are grouped into four industry groups. The first three are comprised of establishments that operate transmission facilities and infrastructure that they own and/or lease, and provide telecommunications services using those facilities. The distinction among the first three industry groups is the type of infrastructure operated (i.e., wired, wireless, or satellite). The fourth industry group is comprised of establishments that provide support activities, telecommunications reselling services, or many of the same services provided by establishments in the first three industry groups, but do not operate as telecommunications carriers. </t>
  </si>
  <si>
    <t xml:space="preserve">Monetary authorities and depository credit intermediation'. The Finance and Insurance sector comprises establishments primarily engaged in financial transactions (transactions involving the creation, liquidation, or change in ownership of financial assets) and/or in facilitating financial transactions. Three principal types of activities are identified   1. Raising funds by taking deposits and/or issuing securities and, in the process, incurring liabilities. Establishments engaged in this activity use raised funds to acquire financial assets by making loans and/or purchasing securities. Putting themselves at risk, they channel funds from lenders to borrowers and transform or repackage the funds with respect to maturity, scale, and risk. This activity is known as financial intermediation.   2. Pooling of risk by underwriting insurance and annuities. Establishments engaged in this activity collect fees, insurance premiums, or annuity considerations; build up reserves; invest those reserves; and make contractual payments. Fees are based on the expected incidence of the insured risk and the expected return on investment.   3. Providing specialized services facilitating or supporting financial intermediation, insurance, and employee benefit programs.   In addition, monetary authorities charged with monetary control are included in this sector.   The subsectors, industry groups, and industries within the NAICS Finance and Insurance sector are defined on the basis of their unique production processes. As with all industries, the production processes are distinguished by their use of specialized human resources and specialized physical capital. In addition, the way in which these establishments acquire and allocate financial capital, their source of funds, and the use of those funds provides a third basis for distinguishing characteristics of the production process. For instance, the production process in raising funds through deposit-taking is different from the process of raising funds in bond or money markets. The process of making loans to individuals also requires different production processes than does the creation of investment pools or the underwriting of securities.   Most of the Finance and Insurance subsectors contain one or more industry groups of (1) intermediaries with similar patterns of raising and using funds and (2) establishments engaged in activities that facilitate, or are otherwise related to, that type of financial or insurance intermediation. Industries within this sector are defined in terms of activities for which a production process can be specified, and many of these activities are not exclusive to a particular type of financial institution. To deal with the varied activities taking place within existing financial institutions, the approach is to split these institutions into components performing specialized services. This requires defining the units engaged in providing those services and developing procedures that allow for their delineation. These units are the equivalents for finance and insurance of the establishments defined for other industries.   The output of many financial services, as well as the inputs and the processes by which they are combined, cannot be observed at a single location and can only be defined at a higher level of the organizational structure of the enterprise. Additionally, a number of independent activities that represent separate and distinct production processes may take place at a single location belonging to a multilocation financial firm. Activities are more likely to be homogeneous with respect to production characteristics than are locations, at least in financial services. The classification defines activities broadly enough that it can be used both by those classifying by location and by those employing a more top-down approach to the delineation of the establishment.   Establishments engaged in activities that facilitate, or are otherwise related to, the various types of intermediation have been included in individual subsectors, rather than in a separate subsector dedicated to services alone because these services are performed by intermediaries, as well as by specialist establishments, the extent to which the activity of the intermediaries can be separately identified is not clear.   The Finance and Insurance sector has been defined to encompass establishments primarily engaged in financial transactions; that is, transactions involving the creation, liquidation, change in ownership of financial assets; or in facilitating financial transactions. Financial industries are extensive users of electronic means for facilitating the verification of financial balances, authorizing transactions, transferring funds to and from transactors accounts, notifying banks (or credit card issuers) of the individual transactions, and providing daily summaries. Since these transaction processing activities are integral to the production of finance and insurance services, establishments that principally provide a financial transaction processing service are classified to this sector, rather than to the data processing industry in the Information sector.   Legal entities that hold portfolios of assets on behalf of others are significant and data on them are required for a variety of purposes. Thus for NAICS, these funds, trusts, and other financial vehicles are the fifth subsector of the Finance and Insurance sector. These entities earn interest, dividends, and other property income, but have little or no employment and no revenue from the sale of services. Separate establishments and employees devoted to the management of funds are classified in Industry Group 5239, Other Financial Investment Activities. </t>
  </si>
  <si>
    <t xml:space="preserve">Nondepository credit intermediation and related activities'. Industries in the Credit Intermediation and Related Activities subsector group establishments that (1) lend funds raised from depositors; (2) lend funds raised from credit market borrowing; or (3) facilitate the lending of funds or issuance of credit by engaging in such activities as mortgage and loan brokerage, clearinghouse and reserve services, and check cashing services. </t>
  </si>
  <si>
    <t xml:space="preserve">Securities and commodity contracts intermediation and brokerage'. Industries in the Securities, Commodity Contracts, and Other Financial Investments and Related Activities subsector group establishments that are primarily engaged in one of the following (1) underwriting securities issues and/or making markets for securities and commodities; (2) acting as agents (i.e., brokers) between buyers and sellers of securities and commodities; (3) providing securities and commodity exchange services; and (4) providing other services, such as managing portfolios of assets; providing investment advice; and trust, fiduciary, and custody services. </t>
  </si>
  <si>
    <t>Direct life insurance carriers'. This industry group comprises establishments primarily engaged in initially underwriting (i.e., assuming the risk and assigning premiums) annuities and life insurance policies, disability income insurance policies, and accidental death and dismemberment insurance policies.</t>
  </si>
  <si>
    <t xml:space="preserve">Consumer goods and general rental centers'. The Real Estate and Rental and Leasing sector comprises establishments primarily engaged in renting, leasing, or otherwise allowing the use of tangible or intangible assets, and establishments providing related services. The major portion of this sector comprises establishments that rent, lease, or otherwise allow the use of their own assets by others. The assets may be tangible, as is the case of real estate and equipment, or intangible, as is the case with patents and trademarks.   This sector also includes establishments primarily engaged in managing real estate for others, selling, renting and/or buying real estate for others, and appraising real estate. These activities are closely related to this sectors main activity, and it was felt that from a production basis they would best be included here. In addition, a substantial proportion of property management is self-performed by lessors.   The main components of this sector are the real estate lessors industries (including equity real estate investment trusts (REITs)); equipment lessors industries (including motor vehicles, computers, and consumer goods); and lessors of nonfinancial intangible assets (except copyrighted works).   Excluded from this sector are establishments primarily engaged in renting or leasing equipment with operators. Establishments renting or leasing equipment with operators are classified in various subsectors of NAICS depending on the nature of the services provided (e.g., transportation, construction, agriculture). These activities are excluded from this sector because the client is paying for the expertise and knowledge of the equipment operator, in addition to the rental of the equipment. In many cases, such as the rental of heavy construction equipment, the operator is essential to operate the equipment. </t>
  </si>
  <si>
    <t>Commercial and industrial machinery and equipment rental and leasing. This industry group comprises establishments primarily engaged in renting or leasing commercial-type and industrial-type machinery and equipment. The types of establishments included in this industry group are generally involved in providing capital or investment-type equipment that clients use in their business operations. These establishments typically cater to a business clientele and do not generally operate a retail-like or store-front facility.Commercial and industrial machinery and equipment rental and leasing. This industry group comprises establishments primarily engaged in renting or leasing commercial-type and industrial-type machinery and equipment. The types of establishments included in this industry group are generally involved in providing capital or investment-type equipment that clients use in their business operations. These establishments typically cater to a business clientele and do not generally operate a retail-like or store-front facility.</t>
  </si>
  <si>
    <t>Management consulting services'. This industry comprises establishments primarily engaged in providing advice and assistance to businesses and other organizations on management issues, such as strategic and organizational planning; financial planning and budgeting; marketing objectives and policies; human resource policies, practices, and planning; production scheduling; and control planning.</t>
  </si>
  <si>
    <t>Scientific research and development services'. This industry group comprises establishments engaged in conducting original investigation undertaken on a systematic basis to gain new knowledge (research) and/or the application of research findings or other scientific knowledge for the creation of new or significantly improved products or processes (experimental development). The industries within this industry group are defined on the basis of the domain of research; that is, on the scientific expertise of the establishment.</t>
  </si>
  <si>
    <t>Advertising, public relations, and related services'. This industry group comprises (1) Advertising Agencies, (2) Public Relations Agencies, (3) Media Buying Agencies, (4) Media Representatives, (5) Display Advertising, (6) Direct Mail Advertising, (7) Advertising Material Distribution Services, and (8) Other Services Related to Advertising.</t>
  </si>
  <si>
    <t>Photographic services'. This industry comprises establishments primarily engaged in providing still, video, or digital photography services. These establishments may specialize in a particular field of photography, such as commercial and industrial photography, portrait photography, and special events photography. Commercial or portrait photography studios are included in this industry.</t>
  </si>
  <si>
    <t>Management of companies and enterprises'. The Management of Companies and Enterprises sector comprises (1) establishments that hold the securities of (or other equity interests in) companies and enterprises for the purpose of owning a controlling interest or influencing management decisions or (2) establishments (except government establishments) that administer, oversee, and manage establishments of the company or enterprise and that normally undertake the strategic or organizational planning and decision making role of the company or enterprise. Establishments that administer, oversee, and manage may hold the securities of the company or enterprise. Establishments in this sector perform essential activities that are often undertaken, in-house, by establishments in many sectors of the economy. By consolidating the performance of these activities of the enterprise at one establishment, economies of scale are achieved. Government establishments primarily engaged in administering, overseeing, and managing governmental programs are classified in Sector 92, Public Administration. Establishments primarily engaged in providing a range of day-to-day office administrative services, such as financial planning, billing and recordkeeping, personnel, and physical distribution and logistics are classified in Industry 56111, Office Administrative Services.</t>
  </si>
  <si>
    <t xml:space="preserve">All other food and drinking places'. The Accommodation and Food Services sector comprises establishments providing customers with lodging and/or preparing meals, snacks, and beverages for immediate consumption. The sector includes both accommodation and food services establishments because the two activities are often combined at the same establishment.   Excluded from this sector are civic and social organizations; amusement and recreation parks; theaters; and other recreation or entertainment facilities providing food and beverage services. </t>
  </si>
  <si>
    <t xml:space="preserve">Junior colleges, colleges, universities, and professional schools'. The Educational Services sector comprises establishments that provide instruction and training in a wide variety of subjects. This instruction and training is provided by specialized establishments, such as schools, colleges, universities, and training centers. These establishments may be privately owned and operated for profit or not for profit, or they may be publicly owned and operated. They may also offer food and/or accommodation services to their students.   Educational services are usually delivered by teachers or instructors that explain, tell, demonstrate, supervise, and direct learning. Instruction is imparted in diverse settings, such as educational institutions, the workplace, or the home, and through diverse means, such as correspondence, television, the Internet, or other electronic and distance-learning methods. The training provided by these establishments may include the use of simulators and simulation methods. It can be adapted to the particular needs of the students, for example sign language can replace verbal language for teaching students with hearing impairments. All industries in the sector share this commonality of process, namely, labor inputs of instructors with the requisite subject matter expertise and teaching ability. </t>
  </si>
  <si>
    <t xml:space="preserve">Table 1, Table 2, and Table 3 (Upstream Emissions): </t>
  </si>
  <si>
    <t>Category 9: Downstream Transportation and Distribution</t>
  </si>
  <si>
    <t>Other General References (Scope 3 Emissions Accounting)</t>
  </si>
  <si>
    <r>
      <t xml:space="preserve">WRI/WBCSD (2011). </t>
    </r>
    <r>
      <rPr>
        <i/>
        <sz val="11"/>
        <color theme="1"/>
        <rFont val="Arial"/>
        <family val="2"/>
        <scheme val="major"/>
      </rPr>
      <t>Corporate Value Chain (Scope 3) Accounting and Reporting Standard.</t>
    </r>
    <r>
      <rPr>
        <sz val="11"/>
        <color theme="1"/>
        <rFont val="Arial"/>
        <family val="2"/>
        <scheme val="major"/>
      </rPr>
      <t xml:space="preserve"> </t>
    </r>
  </si>
  <si>
    <t>http://ghgprotocol.org/sites/default/files/standards/Corporate-Value-Chain-Accounting-Reporing-Standard_041613_2.pdf</t>
  </si>
  <si>
    <r>
      <t xml:space="preserve">WRI/WBCSD (2013). </t>
    </r>
    <r>
      <rPr>
        <i/>
        <sz val="11"/>
        <color theme="1"/>
        <rFont val="Arial"/>
        <family val="2"/>
        <scheme val="major"/>
      </rPr>
      <t xml:space="preserve">Technical Guidance for Calculating Scope 3 Emissions. </t>
    </r>
  </si>
  <si>
    <t>https://ghgprotocol.org/sites/default/files/standards/Scope3_Calculation_Guidance_0.pdf</t>
  </si>
  <si>
    <t>tonne</t>
  </si>
  <si>
    <t>ton (UK)</t>
  </si>
  <si>
    <t>ton (US)</t>
  </si>
  <si>
    <t>Kilogram, kg</t>
  </si>
  <si>
    <t>tonne, t (metric ton)</t>
  </si>
  <si>
    <t>ton (UK, long ton)</t>
  </si>
  <si>
    <t>ton (US, short ton)</t>
  </si>
  <si>
    <t>Pound, lb</t>
  </si>
  <si>
    <t>L</t>
  </si>
  <si>
    <r>
      <t>m</t>
    </r>
    <r>
      <rPr>
        <b/>
        <vertAlign val="superscript"/>
        <sz val="11"/>
        <color indexed="56"/>
        <rFont val="Calibri"/>
        <family val="2"/>
      </rPr>
      <t>3</t>
    </r>
  </si>
  <si>
    <t>cu ft</t>
  </si>
  <si>
    <t>Imp. gallon</t>
  </si>
  <si>
    <t>Bbl (US,P)</t>
  </si>
  <si>
    <t>Litres, L</t>
  </si>
  <si>
    <r>
      <t>Cubic metres, m</t>
    </r>
    <r>
      <rPr>
        <b/>
        <vertAlign val="superscript"/>
        <sz val="11"/>
        <color indexed="56"/>
        <rFont val="Calibri"/>
        <family val="2"/>
      </rPr>
      <t>3</t>
    </r>
  </si>
  <si>
    <t>Cubic feet, cu ft</t>
  </si>
  <si>
    <t>Imperial gallon</t>
  </si>
  <si>
    <t>Barrel (US, petroleum), bbl</t>
  </si>
  <si>
    <t>GJ</t>
  </si>
  <si>
    <t>kWh</t>
  </si>
  <si>
    <t>therm</t>
  </si>
  <si>
    <t>toe</t>
  </si>
  <si>
    <t>kcal</t>
  </si>
  <si>
    <t>Gigajoule, GJ</t>
  </si>
  <si>
    <t>Kilowatt-hour, kWh</t>
  </si>
  <si>
    <t>Tonne oil equivalent, toe</t>
  </si>
  <si>
    <t>Kilocalorie, kcal</t>
  </si>
  <si>
    <t>For Adding Custom Data and Custom Emissions Factors Provided by Supply Chain Partner or Other</t>
  </si>
  <si>
    <t>Global Median</t>
  </si>
  <si>
    <t>Outpatient type (optional)</t>
  </si>
  <si>
    <t>For Emissions Totals Provided by Supply Chain Partner (column H only)</t>
  </si>
  <si>
    <t>Logistics partner</t>
  </si>
  <si>
    <t>Waste management partner</t>
  </si>
  <si>
    <t>WM emissions report</t>
  </si>
  <si>
    <t>Concur emission report</t>
  </si>
  <si>
    <t>Charted flight emission factor</t>
  </si>
  <si>
    <t>Version tracker</t>
  </si>
  <si>
    <t xml:space="preserve"> </t>
  </si>
  <si>
    <t>#</t>
  </si>
  <si>
    <t>Date</t>
  </si>
  <si>
    <t>Description</t>
  </si>
  <si>
    <t>Health Care Emissions Calculator-Facility</t>
  </si>
  <si>
    <t>April 2024</t>
  </si>
  <si>
    <t>June 2023</t>
  </si>
  <si>
    <t>Updated Scope 2 emission factors per region to 2021 EPA data set</t>
  </si>
  <si>
    <t>April 2023</t>
  </si>
  <si>
    <t>Launch of the 1st version of the Health Care Emissions Impact Calculator for US Health Systems</t>
  </si>
  <si>
    <t xml:space="preserve">*Scope 1 and 2 calculations are a part of the Climate Impact Checkup tool. </t>
  </si>
  <si>
    <t xml:space="preserve">*Scope 3 tool was developed by Engie Impact and Health Care Without Harm. </t>
  </si>
  <si>
    <t>ALL INFORMATION BELOW PERTAINS TO UPDATES OR CHANGES TO THE CLIMATE IMPACT CHECKUP TOOL</t>
  </si>
  <si>
    <t>3.3</t>
  </si>
  <si>
    <t>May 2022</t>
  </si>
  <si>
    <t>Second version merged with hotspot/scope3 supply chain tool prepared after pilot feedback.</t>
  </si>
  <si>
    <t>3.2</t>
  </si>
  <si>
    <t>March 2022</t>
  </si>
  <si>
    <t>Steam category inclusion with emission factors for US &amp; Canada. The rest of the countries can estimate the emissions by entering their specific parameters or the emission values.</t>
  </si>
  <si>
    <t>December 2021</t>
  </si>
  <si>
    <t>First version merged with hotspot/scope3 supply chain tool prepared to be pilot for feedback.</t>
  </si>
  <si>
    <t>December 2020</t>
  </si>
  <si>
    <t>This version includes the modifications done after the tool piloting carried out for feedback during the second semester of 2020. Main changes are:
* Waste categories as scope 1 or 3
* New categories of sources (Inhalers and T&amp;D losses)</t>
  </si>
  <si>
    <t>August 2020</t>
  </si>
  <si>
    <t>First global version: incorporation of grid emission factors for all countries, biofuel blends for countries for which information was found, along with the possibility of manual entry, and average values ​​of the waste composition of the IPCC (in the file "countries" there is more information about the literature review carried out to collect these data).
Incorporation of stationary (coal and fuel oil/bunker) and mobile (CNG) combustion fuels. Separation of anesthetic gases. Incorporation of means of transport (private CNG car and private CNG van) in employee transfers and work trips. Incorporation of the patient travel category. Incorporation within the tool of the forms of anesthetics and refrigerant gases.
Incorporation of notation keys and classification of establishments (auxiliary columns with blank content to be able to display and add results). Incorporation of new graphs of results.
Removed linkage with power tool, macros and coverage levels.</t>
  </si>
  <si>
    <t>Health Care Emissions Impact Calculator-Facility</t>
  </si>
  <si>
    <t>US-AKMS (ASCC Miscellaneous)</t>
  </si>
  <si>
    <t>For assistance in determining your utility region, go to:</t>
  </si>
  <si>
    <t>2- Select the year of the greenhouse gas (GHG) inventory to be calculated</t>
  </si>
  <si>
    <t>EPA Egrid Power Profiler</t>
  </si>
  <si>
    <t>3- Contact information:</t>
  </si>
  <si>
    <t>Puerto Rico should choose the SPP South region. Other facilities</t>
  </si>
  <si>
    <t>Name</t>
  </si>
  <si>
    <t>Title</t>
  </si>
  <si>
    <t>Email</t>
  </si>
  <si>
    <t>You are ready to start calculating! Your next steps are:</t>
  </si>
  <si>
    <t>1- Complete the information required for Facility or System Data</t>
  </si>
  <si>
    <t>2- Then complete the information requested in Scope 1, 2 and 3 Data.</t>
  </si>
  <si>
    <t>3- When you have finished completing the Scope 1,2 and 3 Data, you can see the results of the GHG Inventory in the Results &amp; Summary tab and the Scope 3 Summary tab.</t>
  </si>
  <si>
    <t xml:space="preserve">Some clarifications: </t>
  </si>
  <si>
    <t>- Cells where you need to enter data are in green</t>
  </si>
  <si>
    <t xml:space="preserve">- Cells where you do not have to enter data are in grey </t>
  </si>
  <si>
    <t>Scope 1 and 2 Emissions:</t>
  </si>
  <si>
    <t>Scope 1 and 2 Tabs</t>
  </si>
  <si>
    <t>Scope 3 Emissions:</t>
  </si>
  <si>
    <t>Scope 3 Tabs</t>
  </si>
  <si>
    <t>*If you only have system-level data, this calculator will meet all your needs. Simply enter system-level data for each of the activities or categories in this calculator. If you want to track individual facility-level data, duplicate this excel calculator as many as 300 times and store all of your facility-level data files in one folder. You will then be able to import all of your individual facility data files into the Health Care Emissions Impact Calculator- System excel sheet in order to see your total organization's GHG emissions.</t>
  </si>
  <si>
    <t>If you would like to learn more about calculating your GHG emissions, check out these resources:</t>
  </si>
  <si>
    <t>EPA GHG Emissions Overview</t>
  </si>
  <si>
    <t>Greenhouse Gas Protocol</t>
  </si>
  <si>
    <t>If you are still in need of support, resources or guidance in order to develop your GHG inventory or GHG reduction action plan, consider becoming a Practice Greenhealth partner.</t>
  </si>
  <si>
    <t>Practice Greenhealth Membership Info</t>
  </si>
  <si>
    <t>General information</t>
  </si>
  <si>
    <t>Name of Facility</t>
  </si>
  <si>
    <t>Health System</t>
  </si>
  <si>
    <t>State/Province</t>
  </si>
  <si>
    <t>City</t>
  </si>
  <si>
    <t xml:space="preserve">Street Address </t>
  </si>
  <si>
    <t>Zip code/Postal code</t>
  </si>
  <si>
    <t>Type of facility</t>
  </si>
  <si>
    <t>Short description of boundaries defined for this GHG inventory (Equity-financial-operational boundary, facilities included or excluded)</t>
  </si>
  <si>
    <t>Click here for more information on determining an organizational boundary for GHG inventory</t>
  </si>
  <si>
    <t>Annual demographic data for the health care organization</t>
  </si>
  <si>
    <t>Full Time Employees (FTEs)</t>
  </si>
  <si>
    <t>Total Patient Days</t>
  </si>
  <si>
    <t>Total Adjusted Patient Days</t>
  </si>
  <si>
    <t>Total Outpatient Visits</t>
  </si>
  <si>
    <t>Number of Staffed Beds (annual average)</t>
  </si>
  <si>
    <t>Number of Operating Rooms</t>
  </si>
  <si>
    <t>Gross floor area (building square footage)</t>
  </si>
  <si>
    <t>Hours of operation [hrs/ day]</t>
  </si>
  <si>
    <t>GHG Emissions by Source</t>
  </si>
  <si>
    <t>Option 1</t>
  </si>
  <si>
    <t>Actual Data</t>
  </si>
  <si>
    <t>Emissions in this category are from utility bills or invoices.</t>
  </si>
  <si>
    <t>Option 2</t>
  </si>
  <si>
    <t>Estimated / Data not available</t>
  </si>
  <si>
    <t>Emissions in this category are estimated based on extrapolated data. Please indicate estimation methodology in the Parameters tab.</t>
  </si>
  <si>
    <t>Option 3</t>
  </si>
  <si>
    <t>Not Estimated / Complex</t>
  </si>
  <si>
    <t>Emissions not calculated or data is unavailable.</t>
  </si>
  <si>
    <t>Option 4</t>
  </si>
  <si>
    <t>Not Occurring</t>
  </si>
  <si>
    <t>The activity or process does not exist within this facility.</t>
  </si>
  <si>
    <t>Scope 1 emissions are those that occur from sources that are owned or controlled by the health care facility. Examples include: Emissions due to combustion in boilers, water heaters or generators, fleet vehicles fuel use (owned or leased), the use of inhaled anesthetics including nitrous oxide, or refrigerant leaks in air conditioning or refrigeration systems.</t>
  </si>
  <si>
    <t>Stationary Combustion</t>
  </si>
  <si>
    <t>In this section, the GHG emissions resulting from the burning of fossil fuels in stationary processes are calculated. Stationary combustion is that which occurs in devices that do not move, like boilers, hot water tanks, stoves, water heaters, backup generators, onsite waste incineration, autoclaves, etc.</t>
  </si>
  <si>
    <r>
      <rPr>
        <b/>
        <sz val="11"/>
        <color theme="1"/>
        <rFont val="Arial"/>
        <family val="2"/>
        <scheme val="minor"/>
      </rPr>
      <t xml:space="preserve">Clarification. </t>
    </r>
    <r>
      <rPr>
        <sz val="11"/>
        <color theme="1"/>
        <rFont val="Arial"/>
        <family val="2"/>
        <scheme val="minor"/>
      </rPr>
      <t>CO</t>
    </r>
    <r>
      <rPr>
        <vertAlign val="subscript"/>
        <sz val="11"/>
        <color theme="1"/>
        <rFont val="Arial"/>
        <family val="2"/>
        <scheme val="minor"/>
      </rPr>
      <t>2</t>
    </r>
    <r>
      <rPr>
        <sz val="11"/>
        <color theme="1"/>
        <rFont val="Arial"/>
        <family val="2"/>
        <scheme val="minor"/>
      </rPr>
      <t xml:space="preserve"> emissions from biofuels (biodiesel, bioethanol, firewood, etc.) are considered neutral in net terms (the amount of CO</t>
    </r>
    <r>
      <rPr>
        <vertAlign val="subscript"/>
        <sz val="11"/>
        <color theme="1"/>
        <rFont val="Arial"/>
        <family val="2"/>
        <scheme val="minor"/>
      </rPr>
      <t>2</t>
    </r>
    <r>
      <rPr>
        <sz val="11"/>
        <color theme="1"/>
        <rFont val="Arial"/>
        <family val="2"/>
        <scheme val="minor"/>
      </rPr>
      <t xml:space="preserve"> that biomass has captured throughout its life is equal to the amount that it then emits when burned) and that is why they are not counted, but are expressed as zero.</t>
    </r>
  </si>
  <si>
    <t xml:space="preserve">YOU MUST CHOOSE THE TYPE OF DATA IN EVERY SECTION TO GET RESULTS </t>
  </si>
  <si>
    <t>Please indicate the type of data for this source category:</t>
  </si>
  <si>
    <t>Instructions:</t>
  </si>
  <si>
    <t>1 - Enter the amount of fuel used by the facility for each type of fuel in the "Amount Consumed" column. If any type of fuel is not used, leave the respective cell empty.</t>
  </si>
  <si>
    <t>2 - Select the unit for each fuel from the dropdown menu in the "Unit" column.</t>
  </si>
  <si>
    <t>Emissions (kg)</t>
  </si>
  <si>
    <t>Type of fuel</t>
  </si>
  <si>
    <t>Amount Consumed</t>
  </si>
  <si>
    <r>
      <t>CO</t>
    </r>
    <r>
      <rPr>
        <vertAlign val="subscript"/>
        <sz val="11"/>
        <rFont val="Arial"/>
        <family val="2"/>
        <scheme val="minor"/>
      </rPr>
      <t>2</t>
    </r>
  </si>
  <si>
    <r>
      <t>CH</t>
    </r>
    <r>
      <rPr>
        <vertAlign val="subscript"/>
        <sz val="11"/>
        <rFont val="Arial"/>
        <family val="2"/>
        <scheme val="minor"/>
      </rPr>
      <t>4</t>
    </r>
  </si>
  <si>
    <r>
      <t>N</t>
    </r>
    <r>
      <rPr>
        <vertAlign val="subscript"/>
        <sz val="11"/>
        <rFont val="Arial"/>
        <family val="2"/>
        <scheme val="minor"/>
      </rPr>
      <t>2</t>
    </r>
    <r>
      <rPr>
        <sz val="11"/>
        <rFont val="Arial"/>
        <family val="2"/>
        <scheme val="minor"/>
      </rPr>
      <t>O</t>
    </r>
  </si>
  <si>
    <r>
      <t>CO</t>
    </r>
    <r>
      <rPr>
        <vertAlign val="subscript"/>
        <sz val="11"/>
        <rFont val="Arial"/>
        <family val="2"/>
        <scheme val="minor"/>
      </rPr>
      <t>2</t>
    </r>
    <r>
      <rPr>
        <sz val="11"/>
        <rFont val="Arial"/>
        <family val="2"/>
        <scheme val="minor"/>
      </rPr>
      <t>e</t>
    </r>
  </si>
  <si>
    <r>
      <t>m</t>
    </r>
    <r>
      <rPr>
        <vertAlign val="superscript"/>
        <sz val="11"/>
        <color theme="1"/>
        <rFont val="Arial"/>
        <family val="2"/>
        <scheme val="minor"/>
      </rPr>
      <t>3</t>
    </r>
  </si>
  <si>
    <t>Liter</t>
  </si>
  <si>
    <t xml:space="preserve">kg </t>
  </si>
  <si>
    <t>1.2</t>
  </si>
  <si>
    <t>Mobile Combustion</t>
  </si>
  <si>
    <t>In this section, the GHG emissions resulting from fuel combustion for fleet vehicles belonging to (owned or leased) the facility are calculated. These vehicles can be cars, light-duty or heavy-duty trucks, shuttle buses, owned ambulances or helicopters. Note: For contracted services such as ambulance service or medical evacuation helicopter service, emissions should be tracked in Scope 3 Category 4 Upstream Transportation and Distribution. Employee commute to work is tracked in Scope 3 Category 7 and transportation of patients can be tracked in Scope 3 Category 9.</t>
  </si>
  <si>
    <r>
      <t xml:space="preserve">Clarifications: </t>
    </r>
    <r>
      <rPr>
        <sz val="10"/>
        <color theme="1"/>
        <rFont val="Arial"/>
        <family val="2"/>
        <scheme val="minor"/>
      </rPr>
      <t>CO</t>
    </r>
    <r>
      <rPr>
        <vertAlign val="subscript"/>
        <sz val="10"/>
        <color theme="1"/>
        <rFont val="Arial"/>
        <family val="2"/>
        <scheme val="minor"/>
      </rPr>
      <t>2</t>
    </r>
    <r>
      <rPr>
        <sz val="10"/>
        <color theme="1"/>
        <rFont val="Arial"/>
        <family val="2"/>
        <scheme val="minor"/>
      </rPr>
      <t xml:space="preserve"> emissions from biofuels (biodiesel, bioethanol, firewood, etc.) are considered neutral in net terms (the amount of CO</t>
    </r>
    <r>
      <rPr>
        <vertAlign val="subscript"/>
        <sz val="10"/>
        <color theme="1"/>
        <rFont val="Arial"/>
        <family val="2"/>
        <scheme val="minor"/>
      </rPr>
      <t>2</t>
    </r>
    <r>
      <rPr>
        <sz val="10"/>
        <color theme="1"/>
        <rFont val="Arial"/>
        <family val="2"/>
        <scheme val="minor"/>
      </rPr>
      <t xml:space="preserve"> that biomass has captured throughout its life is equal to the amount that it then emits when burned) and for that reason they are not reported and are expressed as zero.On the other hand, if in your region has a mandatory blend of biodiesel and / or bioethanol in fuels, the calculator will automatically divide the amount of fuel entered in each of the parts of the mixture (gasoline / bioethanol; diesel / biodiesel). </t>
    </r>
  </si>
  <si>
    <t>Instructions</t>
  </si>
  <si>
    <t>1 - In the US, the mandatory minimums for 2021 according to the EPA's Renewable Fuel Standard were 5% biodiesel blend and 10% bioethanol blend. If these values ​​do not correspond to the current regulations in your country or you purchase fuels with other higher mixing percentages, you can modify the values manually in the green cells below.</t>
  </si>
  <si>
    <t>2 - Enter the amounts of gasoline and diesel consumed by the organization's vehicles in the column "Amount consumed". If any fuel is not used, leave the respective cell unfilled.</t>
  </si>
  <si>
    <t>3 - If the vehicle uses CNG (Compressed Natural Gas) complete the information in the "Natural Gas" category.</t>
  </si>
  <si>
    <t>4 - Select the unit for each fuel from the dropdown menu in the "Unit" column.</t>
  </si>
  <si>
    <t>Enter below the values you consider correct:</t>
  </si>
  <si>
    <t>Percentage of biodiesel blend in diesel (%)</t>
  </si>
  <si>
    <t>Percentage of bioethanol blend in gasoline (%)</t>
  </si>
  <si>
    <t>Actual quantities considering biofuel percentage blends</t>
  </si>
  <si>
    <t>1.3</t>
  </si>
  <si>
    <t xml:space="preserve">Fugitive Emissions </t>
  </si>
  <si>
    <t>1.3.1</t>
  </si>
  <si>
    <t>Refrigerants and Fire Suppression</t>
  </si>
  <si>
    <t>In this section, the GHG emissions for unintentional (fugitive) emissions (due to charges, recharges (due to leaks) of gases used for cooling (refrigeration, freezers), HVAC equipment and fire surpression devices are calculated.</t>
  </si>
  <si>
    <t>1 - Complete the "Refrigerants" form (by clicking on the gray button on the right) with the information of the refrigeration equipment of your organization. With this information, the calculator will automatically calculate the emissions related to this category.</t>
  </si>
  <si>
    <t>Complete "Refrigerants" sheet</t>
  </si>
  <si>
    <t>Gas or compound</t>
  </si>
  <si>
    <t>Global warming potential (GWP)</t>
  </si>
  <si>
    <t>Total reload (kg)</t>
  </si>
  <si>
    <r>
      <t>Emissions (kgCO</t>
    </r>
    <r>
      <rPr>
        <vertAlign val="subscript"/>
        <sz val="11"/>
        <color theme="1"/>
        <rFont val="Arial"/>
        <family val="2"/>
        <scheme val="minor"/>
      </rPr>
      <t>2</t>
    </r>
    <r>
      <rPr>
        <sz val="11"/>
        <color theme="1"/>
        <rFont val="Arial"/>
        <family val="2"/>
        <scheme val="minor"/>
      </rPr>
      <t>e)</t>
    </r>
  </si>
  <si>
    <t>Type of equipment</t>
  </si>
  <si>
    <t>Emissions (%)</t>
  </si>
  <si>
    <t>1.3.2</t>
  </si>
  <si>
    <t>Inhaled Anesthetic Gases</t>
  </si>
  <si>
    <t>In this section, the GHG emissions for inhaled anesthetic gases are calculated.</t>
  </si>
  <si>
    <t>1 - Complete the "Anesthetic gases" form (by clicking on the gray button on the right). With this information, the calculator will automatically calculate the emissions related to this category.</t>
  </si>
  <si>
    <t>Complete "Anesthetic Gases" sheet</t>
  </si>
  <si>
    <r>
      <t>Emissions in CO</t>
    </r>
    <r>
      <rPr>
        <vertAlign val="subscript"/>
        <sz val="11"/>
        <color theme="1"/>
        <rFont val="Arial"/>
        <family val="2"/>
        <scheme val="minor"/>
      </rPr>
      <t>2</t>
    </r>
    <r>
      <rPr>
        <sz val="11"/>
        <color theme="1"/>
        <rFont val="Arial"/>
        <family val="2"/>
        <scheme val="minor"/>
      </rPr>
      <t>e (kg)</t>
    </r>
  </si>
  <si>
    <t>N2O/O2 - 50/50 vol</t>
  </si>
  <si>
    <t xml:space="preserve">Scope 2 emissions are those that result from the generation of energy purchased by the organization. Typically, this category refers to purchased electricity and district fuels such as purchased steam, hot water or chilled water. The energy is produced by a provider (3rd party) at their own location and transported to the healthcare facility.These emissions do not occur physically at the organization, but rather where the energy is generated. </t>
  </si>
  <si>
    <t>2.1</t>
  </si>
  <si>
    <t>Purchased Electricity</t>
  </si>
  <si>
    <t xml:space="preserve">This section estimates the GHG emissions that result from the generation of electricity. It is important to note that this calculator uses the location-based method to calculate Scope 2 emissions. This means that all emissions are related to the utility grid you selected on row 5 of the Instructions tab. Some facilities choose to use a market-based approach for Scope 2 energy and that may result in their Scope 2 emissions having a lower emissions factor than the US region they are located in. </t>
  </si>
  <si>
    <t>Consumed quantity</t>
  </si>
  <si>
    <t>Emissions (kgCO2e)</t>
  </si>
  <si>
    <t>2.2</t>
  </si>
  <si>
    <t>Purchased Steam, Hot and Chilled Water</t>
  </si>
  <si>
    <t xml:space="preserve">This section calculates emissions that result from the production of district steam, hot water or chilled water. </t>
  </si>
  <si>
    <t>1- Please enter data for each type of district energy source.This calculation uses conversion factors specific to the US &amp; Canada .</t>
  </si>
  <si>
    <t>United States &amp; Canada</t>
  </si>
  <si>
    <t>1- Enter the amount of steam, chilled or hot water (in kbtu) in the appropriate row and column.</t>
  </si>
  <si>
    <t>Item</t>
  </si>
  <si>
    <t>Steam</t>
  </si>
  <si>
    <t>kbtu</t>
  </si>
  <si>
    <t>Hot Water</t>
  </si>
  <si>
    <t>Chilled Water- Electric Driven Chiller</t>
  </si>
  <si>
    <t>Chilled Water- Absorption Chiller using Natural Gas</t>
  </si>
  <si>
    <t>Chilled Water- Engine-Driven Chiller using Natural Gas</t>
  </si>
  <si>
    <t>Family/ Type</t>
  </si>
  <si>
    <t>GWP (Global Warming Potential)</t>
  </si>
  <si>
    <t>Classification</t>
  </si>
  <si>
    <t>Density (kg/m3)</t>
  </si>
  <si>
    <t>Comments</t>
  </si>
  <si>
    <t>Fuel oil/Bunker</t>
  </si>
  <si>
    <t>Fuel unit</t>
  </si>
  <si>
    <t>Density [Kg/fuel unit]; LPG [kg/liter]</t>
  </si>
  <si>
    <t>Low heating value [MJ/Kg]</t>
  </si>
  <si>
    <t>EF Stationary Combustion - CO2 [gCO2/MJ]</t>
  </si>
  <si>
    <t>EF Stationary Combustion -  CH4 [gCH4/MJ]</t>
  </si>
  <si>
    <t>EF Stationary Combustion -  N2O [gN2O/MJ]</t>
  </si>
  <si>
    <t>EF Mobile Combustion - CO2 [gCO2/MJ]</t>
  </si>
  <si>
    <t>FE Mobile Combustion  -  CH4 [gCH4/MJ]</t>
  </si>
  <si>
    <t>FE Mobile Combustion  -  N2O [gN2O/MJ]</t>
  </si>
  <si>
    <t>Type of vehicle/transport</t>
  </si>
  <si>
    <t>EF CO2 [gCO2/(passenger*km)] *</t>
  </si>
  <si>
    <t>EF CH4 [gCH4/(passenger*km)] *</t>
  </si>
  <si>
    <t>EF N2O [gN2O/(passenger*km)] *</t>
  </si>
  <si>
    <t>Compost</t>
  </si>
  <si>
    <t>EF [g gas/Kg de desecho húmedo]</t>
  </si>
  <si>
    <t>Vehicles for business trips</t>
  </si>
  <si>
    <t>Vehicles for the transfer of personnel and patients</t>
  </si>
  <si>
    <t>Service hours</t>
  </si>
  <si>
    <t>Type of health care institution</t>
  </si>
  <si>
    <t>Reason to visit</t>
  </si>
  <si>
    <t>Sample period</t>
  </si>
  <si>
    <t>Times factor</t>
  </si>
  <si>
    <t>Type of cooling equipment</t>
  </si>
  <si>
    <t>Grid emission factor</t>
  </si>
  <si>
    <t>T&amp;D losses</t>
  </si>
  <si>
    <t>Biofuel blends</t>
  </si>
  <si>
    <t>Composition of waste by type of material [%]</t>
  </si>
  <si>
    <t>Region</t>
  </si>
  <si>
    <t>GHG sources categories</t>
  </si>
  <si>
    <t>Yes/No</t>
  </si>
  <si>
    <t>SI</t>
  </si>
  <si>
    <t>non SI unit</t>
  </si>
  <si>
    <t>Volume and/or liquid fuels (gasoline, diesel, fuel oil, kerosene, biodiesel)</t>
  </si>
  <si>
    <t>Solid fuels (coal, wood) or activity data (ie. Waste)</t>
  </si>
  <si>
    <t>In situ / Ex situ</t>
  </si>
  <si>
    <t>Inhaler</t>
  </si>
  <si>
    <t>Refrigerant storage capacity / Unit options</t>
  </si>
  <si>
    <t>WIOD Mapping</t>
  </si>
  <si>
    <t>Currency Table</t>
  </si>
  <si>
    <t>District energy</t>
  </si>
  <si>
    <t>District Energy</t>
  </si>
  <si>
    <t>States and Provinces (US and Canada)</t>
  </si>
  <si>
    <t>Continent/Region</t>
  </si>
  <si>
    <t>Sub-region</t>
  </si>
  <si>
    <t>Value (g/kWh)</t>
  </si>
  <si>
    <t>Reference</t>
  </si>
  <si>
    <t>Value (%)</t>
  </si>
  <si>
    <t>Biodiesel (%)</t>
  </si>
  <si>
    <t>Bioethanol (%)</t>
  </si>
  <si>
    <t>Paper/cardboard</t>
  </si>
  <si>
    <t>Textiles</t>
  </si>
  <si>
    <t>Food waste</t>
  </si>
  <si>
    <t>Garden and Park Waste</t>
  </si>
  <si>
    <t>Nappies</t>
  </si>
  <si>
    <t>Other</t>
  </si>
  <si>
    <t>District Steam</t>
  </si>
  <si>
    <t>District Hot Water</t>
  </si>
  <si>
    <t>Pregunto</t>
  </si>
  <si>
    <t>Value</t>
  </si>
  <si>
    <t>non-SI unit</t>
  </si>
  <si>
    <t>Emissiones per dose (kgCO2e/dose)</t>
  </si>
  <si>
    <t>WIOD Country</t>
  </si>
  <si>
    <t>Country  Code</t>
  </si>
  <si>
    <t>Currency Name</t>
  </si>
  <si>
    <t>Code</t>
  </si>
  <si>
    <t>Source options</t>
  </si>
  <si>
    <t>Unit Options</t>
  </si>
  <si>
    <t>CH4</t>
  </si>
  <si>
    <t>-</t>
  </si>
  <si>
    <r>
      <t>m</t>
    </r>
    <r>
      <rPr>
        <vertAlign val="superscript"/>
        <sz val="10"/>
        <color theme="1"/>
        <rFont val="Arial"/>
        <family val="2"/>
        <scheme val="minor"/>
      </rPr>
      <t>3</t>
    </r>
  </si>
  <si>
    <t>Also used as CNG (Compressed Natural Gas) in mobile combustion.</t>
  </si>
  <si>
    <t>Private car (diesel)</t>
  </si>
  <si>
    <t>(8)</t>
  </si>
  <si>
    <t>Administrative-Only</t>
  </si>
  <si>
    <t>Medical consultations and outpatient procedures</t>
  </si>
  <si>
    <t>7 days</t>
  </si>
  <si>
    <t>Centralized equipment</t>
  </si>
  <si>
    <t>Canada-Alberta (AB)</t>
  </si>
  <si>
    <t>Asia</t>
  </si>
  <si>
    <t>(CE#8)</t>
  </si>
  <si>
    <t>(CE#25) Middle East &amp; North Africa value.</t>
  </si>
  <si>
    <t>(12)</t>
  </si>
  <si>
    <t>Eastern Asia</t>
  </si>
  <si>
    <t>Yes</t>
  </si>
  <si>
    <t>m3</t>
  </si>
  <si>
    <t>mmBTU</t>
  </si>
  <si>
    <t>(32)</t>
  </si>
  <si>
    <t>liter</t>
  </si>
  <si>
    <t>In situ</t>
  </si>
  <si>
    <t>MDI</t>
  </si>
  <si>
    <t>(34)</t>
  </si>
  <si>
    <t>Afghanistan afghani</t>
  </si>
  <si>
    <t>AFA</t>
  </si>
  <si>
    <t>Geothermal</t>
  </si>
  <si>
    <t>US - Alabama</t>
  </si>
  <si>
    <t>N2O</t>
  </si>
  <si>
    <t>Anesthetic</t>
  </si>
  <si>
    <t>(30)</t>
  </si>
  <si>
    <t>Density at 15ºC and atmosferic pression (1 bar)</t>
  </si>
  <si>
    <t>liters</t>
  </si>
  <si>
    <t>For generator testing</t>
  </si>
  <si>
    <t>Private car (gasoline)</t>
  </si>
  <si>
    <t>Academic Medical Center</t>
  </si>
  <si>
    <t>Internment</t>
  </si>
  <si>
    <t>1 month</t>
  </si>
  <si>
    <t>Extinguisher</t>
  </si>
  <si>
    <t>Canada-British Columbia (BC)</t>
  </si>
  <si>
    <t>Europe</t>
  </si>
  <si>
    <t xml:space="preserve">(CE#25) </t>
  </si>
  <si>
    <t>South-Central Asia</t>
  </si>
  <si>
    <t>No</t>
  </si>
  <si>
    <t>SCF</t>
  </si>
  <si>
    <t>gallon</t>
  </si>
  <si>
    <t>Ex situ</t>
  </si>
  <si>
    <t>DPI</t>
  </si>
  <si>
    <t>Albanian lek</t>
  </si>
  <si>
    <t>ALL</t>
  </si>
  <si>
    <t>Grid electricity</t>
  </si>
  <si>
    <t>1000 pounds</t>
  </si>
  <si>
    <t>US - Alaska</t>
  </si>
  <si>
    <t>Isoflurane</t>
  </si>
  <si>
    <t>(29)</t>
  </si>
  <si>
    <t>Fuel Oil #2</t>
  </si>
  <si>
    <t>"Residual Fuel Oil" values.</t>
  </si>
  <si>
    <t>Private car (CNG)</t>
  </si>
  <si>
    <t>(24)</t>
  </si>
  <si>
    <t>Se toma "Passenger Car - CNG - Engine Size Unknown". No se encontraron FE para CH4 y N2O.</t>
  </si>
  <si>
    <t>Referencias</t>
  </si>
  <si>
    <t>(16)</t>
  </si>
  <si>
    <t>Academic Medical Center w/ Onsite Research</t>
  </si>
  <si>
    <t>Withdrawal from studies or medication</t>
  </si>
  <si>
    <t>Annual</t>
  </si>
  <si>
    <t>Freezer</t>
  </si>
  <si>
    <t>Canada-Manitoba (MT)</t>
  </si>
  <si>
    <t>Africa</t>
  </si>
  <si>
    <t>South-Eastern Asia</t>
  </si>
  <si>
    <t>metric ton</t>
  </si>
  <si>
    <t>Algerian dinar</t>
  </si>
  <si>
    <t>DZD</t>
  </si>
  <si>
    <t>Incineration - WTE</t>
  </si>
  <si>
    <t>US - Arizona</t>
  </si>
  <si>
    <t>Sevoflurane</t>
  </si>
  <si>
    <t>"Motor gasoline" values.</t>
  </si>
  <si>
    <t>Plane - Short</t>
  </si>
  <si>
    <t>(10)</t>
  </si>
  <si>
    <t>Plane</t>
  </si>
  <si>
    <t>Ambulatory Surgery Center</t>
  </si>
  <si>
    <t>Shift request</t>
  </si>
  <si>
    <t>Freezer / Vaccines</t>
  </si>
  <si>
    <t>Canada-New Brunswick (NB)</t>
  </si>
  <si>
    <t>Oceania</t>
  </si>
  <si>
    <t>(CE#25) East Asia &amp; Pacific value.</t>
  </si>
  <si>
    <t>Western Asia &amp; Middle East</t>
  </si>
  <si>
    <t>therms (US)</t>
  </si>
  <si>
    <t>Angolan kwanza reajustado</t>
  </si>
  <si>
    <t>AOR</t>
  </si>
  <si>
    <t>ton-hour</t>
  </si>
  <si>
    <t>Desflurane</t>
  </si>
  <si>
    <t>Liquefied Petroleum Gases (LPG)</t>
  </si>
  <si>
    <t>Plane - Medium</t>
  </si>
  <si>
    <t>Community Hospital</t>
  </si>
  <si>
    <t>Emergencies</t>
  </si>
  <si>
    <t>Mini split</t>
  </si>
  <si>
    <t>Canada-Newfoundland and Labrador (NL)</t>
  </si>
  <si>
    <t>(CE#25) European Union value.</t>
  </si>
  <si>
    <t>Eastern Africa</t>
  </si>
  <si>
    <t>CCF</t>
  </si>
  <si>
    <t>Argentine peso</t>
  </si>
  <si>
    <t>ARS</t>
  </si>
  <si>
    <t>Solar thermal</t>
  </si>
  <si>
    <t>(31)</t>
  </si>
  <si>
    <t>Kerosene</t>
  </si>
  <si>
    <t>"Other Kerosene" values.</t>
  </si>
  <si>
    <t>Plane - Long</t>
  </si>
  <si>
    <t>Visits</t>
  </si>
  <si>
    <t>Multi Split</t>
  </si>
  <si>
    <t>Canada-Nova Scotia (NS)</t>
  </si>
  <si>
    <t>Middle Africa</t>
  </si>
  <si>
    <t>MCF</t>
  </si>
  <si>
    <t>Armenian dram</t>
  </si>
  <si>
    <t>AMD</t>
  </si>
  <si>
    <t>Refrigerant</t>
  </si>
  <si>
    <t>"Other Bituminous Coal" values.</t>
  </si>
  <si>
    <t>(9)</t>
  </si>
  <si>
    <t>Laboratory</t>
  </si>
  <si>
    <t>Others (meetings, payments, etc.)</t>
  </si>
  <si>
    <t>Refrigerator</t>
  </si>
  <si>
    <t>Canada-Northwest Territories (NT)</t>
  </si>
  <si>
    <t>Americas</t>
  </si>
  <si>
    <t>(CE#25) Caribbean small states value.</t>
  </si>
  <si>
    <t>Northern Africa</t>
  </si>
  <si>
    <t>only for LPG (24)</t>
  </si>
  <si>
    <t>Aruban guilder</t>
  </si>
  <si>
    <t>AWG</t>
  </si>
  <si>
    <t>Do not know it</t>
  </si>
  <si>
    <t>"Wood/Wood Waste" values.</t>
  </si>
  <si>
    <t>Long distance bus</t>
  </si>
  <si>
    <t>Long-Term Care Hospital</t>
  </si>
  <si>
    <t>Refrigerator / Vaccines</t>
  </si>
  <si>
    <t>Canada-Nunavut (NU)</t>
  </si>
  <si>
    <t>Southern Africa</t>
  </si>
  <si>
    <t>Australian dollar</t>
  </si>
  <si>
    <t>AUD</t>
  </si>
  <si>
    <t>Private SUV or truck (diesel)</t>
  </si>
  <si>
    <t>Medical Office Building</t>
  </si>
  <si>
    <t>Vending machine</t>
  </si>
  <si>
    <t>Canada-Ontario (ON)</t>
  </si>
  <si>
    <t>(CE#1)</t>
  </si>
  <si>
    <t>CB#3;CB#4</t>
  </si>
  <si>
    <t>(11)</t>
  </si>
  <si>
    <t>Western Africa</t>
  </si>
  <si>
    <t>Azerbaijanian new manat</t>
  </si>
  <si>
    <t>AZN</t>
  </si>
  <si>
    <t>Biogasoline/Bioethanol</t>
  </si>
  <si>
    <t>"Biogasoline" values.</t>
  </si>
  <si>
    <t>Private SUV (gasolina)</t>
  </si>
  <si>
    <t>Outpatient Center</t>
  </si>
  <si>
    <t>Canada-Prince Edward Island (PE)</t>
  </si>
  <si>
    <t>Eastern Europe</t>
  </si>
  <si>
    <t>Bahamian dollar</t>
  </si>
  <si>
    <t>BSD</t>
  </si>
  <si>
    <t xml:space="preserve">(24); (25); (26)  </t>
  </si>
  <si>
    <t>(1)</t>
  </si>
  <si>
    <t>(2)</t>
  </si>
  <si>
    <t>(3)</t>
  </si>
  <si>
    <t>(4)</t>
  </si>
  <si>
    <t>Private SUC or truck (CNG)</t>
  </si>
  <si>
    <t>(24); (8); (8)</t>
  </si>
  <si>
    <t>Specialty Hospital</t>
  </si>
  <si>
    <t>Canada-Quebec (QC)</t>
  </si>
  <si>
    <t>Northern Europe</t>
  </si>
  <si>
    <t>Bahraini dinar</t>
  </si>
  <si>
    <t>BHD</t>
  </si>
  <si>
    <t>Subway</t>
  </si>
  <si>
    <t>Canada-Saskatchewan (SK)</t>
  </si>
  <si>
    <t>(CE#22)</t>
  </si>
  <si>
    <t>Southern Europe</t>
  </si>
  <si>
    <t>Bangladeshi taka</t>
  </si>
  <si>
    <t>BDT</t>
  </si>
  <si>
    <t>Canada-Yukon Territory (YT)</t>
  </si>
  <si>
    <t>Western Europe</t>
  </si>
  <si>
    <t>Barbados dollar</t>
  </si>
  <si>
    <t>BBD</t>
  </si>
  <si>
    <t>Taxi</t>
  </si>
  <si>
    <t>US-AKGD (ASCC Alaska Grid)</t>
  </si>
  <si>
    <t>Australia and New Zealand</t>
  </si>
  <si>
    <t>Belarusian ruble</t>
  </si>
  <si>
    <t>BYN</t>
  </si>
  <si>
    <t>Train</t>
  </si>
  <si>
    <t>Rest of Oceania</t>
  </si>
  <si>
    <t>Belize dollar</t>
  </si>
  <si>
    <t>BZD</t>
  </si>
  <si>
    <t>US-AZNM (WECC Southwest)</t>
  </si>
  <si>
    <t>North America</t>
  </si>
  <si>
    <t>Bermudian dollar</t>
  </si>
  <si>
    <t>BMD</t>
  </si>
  <si>
    <t>US-CAMX (WECC California)</t>
  </si>
  <si>
    <t>Central America</t>
  </si>
  <si>
    <t>Bhutan ngultrum</t>
  </si>
  <si>
    <t>BTN</t>
  </si>
  <si>
    <t>Classification of types of flights</t>
  </si>
  <si>
    <t>From (km)</t>
  </si>
  <si>
    <t>To (km)</t>
  </si>
  <si>
    <t>US-ERCT (ERCOT All)</t>
  </si>
  <si>
    <t>South America</t>
  </si>
  <si>
    <t>Bolivian boliviano</t>
  </si>
  <si>
    <t>BOB</t>
  </si>
  <si>
    <t>(23)</t>
  </si>
  <si>
    <t>US-FRCC (FRCC All)</t>
  </si>
  <si>
    <t>Caribbean</t>
  </si>
  <si>
    <t>Botswana pula</t>
  </si>
  <si>
    <t>BWP</t>
  </si>
  <si>
    <t>HFC-236ea</t>
  </si>
  <si>
    <t>(10) ; (23)</t>
  </si>
  <si>
    <t>US-HIMS (HICC Miscellaneous)</t>
  </si>
  <si>
    <t>Brazilian real</t>
  </si>
  <si>
    <t>BRL</t>
  </si>
  <si>
    <t>HFC-236fa</t>
  </si>
  <si>
    <t>No upper limit</t>
  </si>
  <si>
    <t>US-HIOA (HICC Oahu)</t>
  </si>
  <si>
    <t>(CE#7)</t>
  </si>
  <si>
    <t>CB#1</t>
  </si>
  <si>
    <t>British pound</t>
  </si>
  <si>
    <t>GBP</t>
  </si>
  <si>
    <t>HFC-245ca</t>
  </si>
  <si>
    <t>US-MROE (MRO East)</t>
  </si>
  <si>
    <t>Brunei dollar</t>
  </si>
  <si>
    <t>BND</t>
  </si>
  <si>
    <t>HFC-245fa</t>
  </si>
  <si>
    <t>1 mile =</t>
  </si>
  <si>
    <t>km</t>
  </si>
  <si>
    <t>US-MROW (MRO West)</t>
  </si>
  <si>
    <t>(CE#25) Portugal value.</t>
  </si>
  <si>
    <t>Bulgarian lev</t>
  </si>
  <si>
    <t>BGN</t>
  </si>
  <si>
    <t>HFC-365mfc</t>
  </si>
  <si>
    <t>US-NEWE (NPCC New England)</t>
  </si>
  <si>
    <t>Burundi franc</t>
  </si>
  <si>
    <t>BIF</t>
  </si>
  <si>
    <t>HFC-43-10mee</t>
  </si>
  <si>
    <t>US-NWPP (WECC Northwest)</t>
  </si>
  <si>
    <t>Cambodian riel</t>
  </si>
  <si>
    <t>KHR</t>
  </si>
  <si>
    <t>US-NYCW (NPCC NYC/Westchester)</t>
  </si>
  <si>
    <t>Canadian dollar</t>
  </si>
  <si>
    <t>CAD</t>
  </si>
  <si>
    <t>US-NYLI (NPCC Long Island)</t>
  </si>
  <si>
    <t>Cape Verde escudo</t>
  </si>
  <si>
    <t>CVE</t>
  </si>
  <si>
    <t>PFC-14</t>
  </si>
  <si>
    <t>PFC</t>
  </si>
  <si>
    <t>US-NYUP (NPCC Upstate NY)</t>
  </si>
  <si>
    <t>Cayman Islands dollar</t>
  </si>
  <si>
    <t>KYD</t>
  </si>
  <si>
    <t>PFC-116</t>
  </si>
  <si>
    <t>US-RFCE (RFC East)</t>
  </si>
  <si>
    <t>CFA franc BCEAO</t>
  </si>
  <si>
    <t>XOF</t>
  </si>
  <si>
    <t>PFC-218</t>
  </si>
  <si>
    <t>US-RFCM (RFC Michigan)</t>
  </si>
  <si>
    <t>(CE#25) Latin America &amp; Caribbean value.</t>
  </si>
  <si>
    <t>CFA franc BEAC</t>
  </si>
  <si>
    <t>XAF</t>
  </si>
  <si>
    <t>PFC-318</t>
  </si>
  <si>
    <t>US-RFCW (RFC West)</t>
  </si>
  <si>
    <t>(CE#25) Middle East &amp; North Africa</t>
  </si>
  <si>
    <t>CFP franc</t>
  </si>
  <si>
    <t>XPF</t>
  </si>
  <si>
    <t>US-RMPA (WECC Rockies)</t>
  </si>
  <si>
    <t>Chilean peso</t>
  </si>
  <si>
    <t>CLP</t>
  </si>
  <si>
    <t>US-SPNO (SPP North)</t>
  </si>
  <si>
    <t>(CE#25) South Asia value.</t>
  </si>
  <si>
    <t>Chinese yuan renminbi</t>
  </si>
  <si>
    <t>CNY</t>
  </si>
  <si>
    <t>US-SPSO (SPP South)</t>
  </si>
  <si>
    <t>Colombian peso</t>
  </si>
  <si>
    <t>COP</t>
  </si>
  <si>
    <t>US-SRMV (SERC Mississippi Valley)</t>
  </si>
  <si>
    <t>Comoros franc</t>
  </si>
  <si>
    <t>KMF</t>
  </si>
  <si>
    <t>US-SRMW (SERC Midwest)</t>
  </si>
  <si>
    <t>Congolese franc</t>
  </si>
  <si>
    <t>CDF</t>
  </si>
  <si>
    <t>US-SRSO (SERC South)</t>
  </si>
  <si>
    <t>Costa Rican colon</t>
  </si>
  <si>
    <t>CRC</t>
  </si>
  <si>
    <t>R-11</t>
  </si>
  <si>
    <t>US-SRTV (SERC Tennessee Valley)</t>
  </si>
  <si>
    <t>Croatian kuna</t>
  </si>
  <si>
    <t>HRK</t>
  </si>
  <si>
    <t>R-12</t>
  </si>
  <si>
    <t>US-SRVC (SERC Virginia/Carolina)</t>
  </si>
  <si>
    <t>Cuban peso</t>
  </si>
  <si>
    <t>CUP</t>
  </si>
  <si>
    <t>R-22</t>
  </si>
  <si>
    <t>Bulgaria</t>
  </si>
  <si>
    <t>Czech koruna</t>
  </si>
  <si>
    <t>CZK</t>
  </si>
  <si>
    <t>R-44</t>
  </si>
  <si>
    <t>Burkina Faso</t>
  </si>
  <si>
    <t>Danish krone</t>
  </si>
  <si>
    <t>DKK</t>
  </si>
  <si>
    <t>R-123</t>
  </si>
  <si>
    <t>Burundi</t>
  </si>
  <si>
    <t>(CE#25) Sub-Saharan Africa value.</t>
  </si>
  <si>
    <t>Djibouti franc</t>
  </si>
  <si>
    <t>DJF</t>
  </si>
  <si>
    <t>R-290</t>
  </si>
  <si>
    <t>Cambodia</t>
  </si>
  <si>
    <t>Dominican peso</t>
  </si>
  <si>
    <t>DOP</t>
  </si>
  <si>
    <t>Cameroon</t>
  </si>
  <si>
    <t>East Caribbean dollar</t>
  </si>
  <si>
    <t>XCD</t>
  </si>
  <si>
    <t>R-401A</t>
  </si>
  <si>
    <t>(CE#23)</t>
  </si>
  <si>
    <t>kgCO2e/kbtu</t>
  </si>
  <si>
    <t>CH#1</t>
  </si>
  <si>
    <t>Egyptian pound</t>
  </si>
  <si>
    <t>EGP</t>
  </si>
  <si>
    <t>R-401B</t>
  </si>
  <si>
    <t>El Salvador colon</t>
  </si>
  <si>
    <t>SVC</t>
  </si>
  <si>
    <t>R-401C</t>
  </si>
  <si>
    <t>Eritrean nakfa</t>
  </si>
  <si>
    <t>ERN</t>
  </si>
  <si>
    <t>R-402A</t>
  </si>
  <si>
    <t>Estonian kroon</t>
  </si>
  <si>
    <t>EEK</t>
  </si>
  <si>
    <t>R-402B</t>
  </si>
  <si>
    <t>Ethiopian birr</t>
  </si>
  <si>
    <t>ETB</t>
  </si>
  <si>
    <t>R-403A</t>
  </si>
  <si>
    <t>EU euro</t>
  </si>
  <si>
    <t>EUR</t>
  </si>
  <si>
    <t>R-403B</t>
  </si>
  <si>
    <t>Fiji dollar</t>
  </si>
  <si>
    <t>FJD</t>
  </si>
  <si>
    <t>R-404A</t>
  </si>
  <si>
    <t>Gambian dalasi</t>
  </si>
  <si>
    <t>GMD</t>
  </si>
  <si>
    <t>R-406A</t>
  </si>
  <si>
    <t>Georgian lari</t>
  </si>
  <si>
    <t>GEL</t>
  </si>
  <si>
    <t>R-407A</t>
  </si>
  <si>
    <t>Ghanaian new cedi</t>
  </si>
  <si>
    <t>GHS</t>
  </si>
  <si>
    <t>R-407B</t>
  </si>
  <si>
    <t>Gibraltar pound</t>
  </si>
  <si>
    <t>GIP</t>
  </si>
  <si>
    <t>R-407C</t>
  </si>
  <si>
    <t>Gold franc</t>
  </si>
  <si>
    <t>XFO</t>
  </si>
  <si>
    <t>R-407D</t>
  </si>
  <si>
    <t>Guatemalan quetzal</t>
  </si>
  <si>
    <t>GTQ</t>
  </si>
  <si>
    <t>R-407E</t>
  </si>
  <si>
    <t>Canary Islands (Spain)</t>
  </si>
  <si>
    <t>Guinean franc</t>
  </si>
  <si>
    <t>GNF</t>
  </si>
  <si>
    <t>R-407F</t>
  </si>
  <si>
    <t>Cape Verde</t>
  </si>
  <si>
    <t>Guyana dollar</t>
  </si>
  <si>
    <t>GYD</t>
  </si>
  <si>
    <t>R-408A</t>
  </si>
  <si>
    <t>Cayman Islands</t>
  </si>
  <si>
    <t>Haitian gourde</t>
  </si>
  <si>
    <t>HTG</t>
  </si>
  <si>
    <t>R-409A</t>
  </si>
  <si>
    <t>Central African Republic</t>
  </si>
  <si>
    <t>Honduran lempira</t>
  </si>
  <si>
    <t>HNL</t>
  </si>
  <si>
    <t>R-409B</t>
  </si>
  <si>
    <t>Chad</t>
  </si>
  <si>
    <t>Hong Kong SAR dollar</t>
  </si>
  <si>
    <t>HKD</t>
  </si>
  <si>
    <t>R-410A</t>
  </si>
  <si>
    <t>Channel Islands</t>
  </si>
  <si>
    <t>Hungarian forint</t>
  </si>
  <si>
    <t>HUF</t>
  </si>
  <si>
    <t>R-410B</t>
  </si>
  <si>
    <t>(CE#11)</t>
  </si>
  <si>
    <t>Icelandic krona</t>
  </si>
  <si>
    <t>ISK</t>
  </si>
  <si>
    <t>R-411A</t>
  </si>
  <si>
    <t>(CE#13)</t>
  </si>
  <si>
    <t>CB#5</t>
  </si>
  <si>
    <t>Indian rupee</t>
  </si>
  <si>
    <t>INR</t>
  </si>
  <si>
    <t>R-411B</t>
  </si>
  <si>
    <t>(CE#2)</t>
  </si>
  <si>
    <t>Indonesian rupiah</t>
  </si>
  <si>
    <t>IDR</t>
  </si>
  <si>
    <t>R-412A</t>
  </si>
  <si>
    <t>Comoros</t>
  </si>
  <si>
    <t>Iranian rial</t>
  </si>
  <si>
    <t>IRR</t>
  </si>
  <si>
    <t>Congo. Democratic Republic of</t>
  </si>
  <si>
    <t>Iraqi dinar</t>
  </si>
  <si>
    <t>IQD</t>
  </si>
  <si>
    <t>Congo. Republic of</t>
  </si>
  <si>
    <t>Israeli new shekel</t>
  </si>
  <si>
    <t>ILS</t>
  </si>
  <si>
    <t>Cook Islands</t>
  </si>
  <si>
    <t>Jamaican dollar</t>
  </si>
  <si>
    <t>JMD</t>
  </si>
  <si>
    <t>R-415A</t>
  </si>
  <si>
    <t>(CE#3)</t>
  </si>
  <si>
    <t>(13)</t>
  </si>
  <si>
    <t>Japanese yen</t>
  </si>
  <si>
    <t>JPY</t>
  </si>
  <si>
    <t>R-415B</t>
  </si>
  <si>
    <t>Côte d'Ivoire</t>
  </si>
  <si>
    <t>Jordanian dinar</t>
  </si>
  <si>
    <t>JOD</t>
  </si>
  <si>
    <t>R-416A</t>
  </si>
  <si>
    <t>Croatia</t>
  </si>
  <si>
    <t>Kazakh tenge</t>
  </si>
  <si>
    <t>KZT</t>
  </si>
  <si>
    <t>R-417A</t>
  </si>
  <si>
    <t>Cuba</t>
  </si>
  <si>
    <t>Kenyan shilling</t>
  </si>
  <si>
    <t>KES</t>
  </si>
  <si>
    <t>R-417B</t>
  </si>
  <si>
    <t>Curaçao (Netherlands)</t>
  </si>
  <si>
    <t>Kuwaiti dinar</t>
  </si>
  <si>
    <t>KWD</t>
  </si>
  <si>
    <t>R-417C</t>
  </si>
  <si>
    <t>Cyprus</t>
  </si>
  <si>
    <t>Kyrgyz som</t>
  </si>
  <si>
    <t>KGS</t>
  </si>
  <si>
    <t>R-418A</t>
  </si>
  <si>
    <t>Czechia</t>
  </si>
  <si>
    <t>Lao kip</t>
  </si>
  <si>
    <t>LAK</t>
  </si>
  <si>
    <t>R-419A</t>
  </si>
  <si>
    <t>Denmark</t>
  </si>
  <si>
    <t>Latvian lats</t>
  </si>
  <si>
    <t>LVL</t>
  </si>
  <si>
    <t>R-419B</t>
  </si>
  <si>
    <t>Djibouti</t>
  </si>
  <si>
    <t>Lebanese pound</t>
  </si>
  <si>
    <t>LBP</t>
  </si>
  <si>
    <t>R-420A</t>
  </si>
  <si>
    <t>Dominica</t>
  </si>
  <si>
    <t>Lesotho loti</t>
  </si>
  <si>
    <t>LSL</t>
  </si>
  <si>
    <t>R-421A</t>
  </si>
  <si>
    <t>Dominican Republic</t>
  </si>
  <si>
    <t>Liberian dollar</t>
  </si>
  <si>
    <t>LRD</t>
  </si>
  <si>
    <t>R-421B</t>
  </si>
  <si>
    <t>Ecuador</t>
  </si>
  <si>
    <t>Libyan dinar</t>
  </si>
  <si>
    <t>LYD</t>
  </si>
  <si>
    <t>R-422A</t>
  </si>
  <si>
    <t>Lithuanian litas</t>
  </si>
  <si>
    <t>LTL</t>
  </si>
  <si>
    <t>R-422B</t>
  </si>
  <si>
    <t>El Salvador</t>
  </si>
  <si>
    <t>Macao SAR pataca</t>
  </si>
  <si>
    <t>MOP</t>
  </si>
  <si>
    <t>R-422C</t>
  </si>
  <si>
    <t>Equatorial Guinea</t>
  </si>
  <si>
    <t>Macedonian denar</t>
  </si>
  <si>
    <t>MKD</t>
  </si>
  <si>
    <t>R-422D</t>
  </si>
  <si>
    <t>Eritrea</t>
  </si>
  <si>
    <t>Malagasy ariary</t>
  </si>
  <si>
    <t>MGA</t>
  </si>
  <si>
    <t>R-422E</t>
  </si>
  <si>
    <t>Estonia</t>
  </si>
  <si>
    <t>Malawi kwacha</t>
  </si>
  <si>
    <t>MWK</t>
  </si>
  <si>
    <t>R-423A</t>
  </si>
  <si>
    <t>Eswatini</t>
  </si>
  <si>
    <t>Malaysian ringgit</t>
  </si>
  <si>
    <t>MYR</t>
  </si>
  <si>
    <t>R-424A</t>
  </si>
  <si>
    <t>Ethiopia</t>
  </si>
  <si>
    <t>Maldivian rufiyaa</t>
  </si>
  <si>
    <t>MVR</t>
  </si>
  <si>
    <t>R-425A</t>
  </si>
  <si>
    <t>Faroe Islands (Denmark)</t>
  </si>
  <si>
    <t>Mauritanian ouguiya</t>
  </si>
  <si>
    <t>MRO</t>
  </si>
  <si>
    <t>R-426A</t>
  </si>
  <si>
    <t>Fiji</t>
  </si>
  <si>
    <t>Mauritius rupee</t>
  </si>
  <si>
    <t>MUR</t>
  </si>
  <si>
    <t>R-427A</t>
  </si>
  <si>
    <t>Finland</t>
  </si>
  <si>
    <t>Mexican peso</t>
  </si>
  <si>
    <t>MXN</t>
  </si>
  <si>
    <t>R-428A</t>
  </si>
  <si>
    <t>Moldovan leu</t>
  </si>
  <si>
    <t>MDL</t>
  </si>
  <si>
    <t>R-429A</t>
  </si>
  <si>
    <t>French Guiana</t>
  </si>
  <si>
    <t>Mongolian tugrik</t>
  </si>
  <si>
    <t>MNT</t>
  </si>
  <si>
    <t>R-430A</t>
  </si>
  <si>
    <t>French Polynesia</t>
  </si>
  <si>
    <t>Moroccan dirham</t>
  </si>
  <si>
    <t>MAD</t>
  </si>
  <si>
    <t>R-431A</t>
  </si>
  <si>
    <t>Gabon</t>
  </si>
  <si>
    <t>Mozambique new metical</t>
  </si>
  <si>
    <t>MZN</t>
  </si>
  <si>
    <t>Gambia</t>
  </si>
  <si>
    <t>Myanmar kyat</t>
  </si>
  <si>
    <t>MMK</t>
  </si>
  <si>
    <t>Namibian dollar</t>
  </si>
  <si>
    <t>NAD</t>
  </si>
  <si>
    <t>R-434A</t>
  </si>
  <si>
    <t>Nepalese rupee</t>
  </si>
  <si>
    <t>NPR</t>
  </si>
  <si>
    <t>R-435A</t>
  </si>
  <si>
    <t>Ghana</t>
  </si>
  <si>
    <t>Netherlands Antillian guilder</t>
  </si>
  <si>
    <t>ANG</t>
  </si>
  <si>
    <t>Greece</t>
  </si>
  <si>
    <t>New Zealand dollar</t>
  </si>
  <si>
    <t>NZD</t>
  </si>
  <si>
    <t>Greenland</t>
  </si>
  <si>
    <t>(CE#25) World value.</t>
  </si>
  <si>
    <t>Nicaraguan cordoba oro</t>
  </si>
  <si>
    <t>NIO</t>
  </si>
  <si>
    <t>R-437A</t>
  </si>
  <si>
    <t>Grenada</t>
  </si>
  <si>
    <t>Nigerian naira</t>
  </si>
  <si>
    <t>NGN</t>
  </si>
  <si>
    <t>R-438A</t>
  </si>
  <si>
    <t>Guadeloupe (France)</t>
  </si>
  <si>
    <t>North Korean won</t>
  </si>
  <si>
    <t>KPW</t>
  </si>
  <si>
    <t>R-439A</t>
  </si>
  <si>
    <t>Guam</t>
  </si>
  <si>
    <t>Norwegian krone</t>
  </si>
  <si>
    <t>NOK</t>
  </si>
  <si>
    <t>R-440A</t>
  </si>
  <si>
    <t>Guatemala</t>
  </si>
  <si>
    <t>(CE#4)</t>
  </si>
  <si>
    <t>Omani rial</t>
  </si>
  <si>
    <t>OMR</t>
  </si>
  <si>
    <t>Guinea</t>
  </si>
  <si>
    <t>Pakistani rupee</t>
  </si>
  <si>
    <t>PKR</t>
  </si>
  <si>
    <t>R-442A</t>
  </si>
  <si>
    <t>Guinea-Bissau</t>
  </si>
  <si>
    <t>Panamanian balboa</t>
  </si>
  <si>
    <t>PAB</t>
  </si>
  <si>
    <t>Guyana</t>
  </si>
  <si>
    <t>Papua New Guinea kina</t>
  </si>
  <si>
    <t>PGK</t>
  </si>
  <si>
    <t>R-444A</t>
  </si>
  <si>
    <t>Haiti</t>
  </si>
  <si>
    <t>Paraguayan guarani</t>
  </si>
  <si>
    <t>PYG</t>
  </si>
  <si>
    <t>R-445A</t>
  </si>
  <si>
    <t>Honduras</t>
  </si>
  <si>
    <t>CB#2</t>
  </si>
  <si>
    <t>Peruvian nuevo sol</t>
  </si>
  <si>
    <t>PEN</t>
  </si>
  <si>
    <t>R-500</t>
  </si>
  <si>
    <t>Hong Kong (China)</t>
  </si>
  <si>
    <t>Philippine peso</t>
  </si>
  <si>
    <t>PHP</t>
  </si>
  <si>
    <t>Hungary</t>
  </si>
  <si>
    <t>Polish zloty</t>
  </si>
  <si>
    <t>PLN</t>
  </si>
  <si>
    <t>Iceland</t>
  </si>
  <si>
    <t>Qatari rial</t>
  </si>
  <si>
    <t>QAR</t>
  </si>
  <si>
    <t>R-503</t>
  </si>
  <si>
    <t>(CE#14;CE#10)</t>
  </si>
  <si>
    <t>Romanian new leu</t>
  </si>
  <si>
    <t>RON</t>
  </si>
  <si>
    <t>R-504</t>
  </si>
  <si>
    <t>(CE#15)</t>
  </si>
  <si>
    <t>Russian ruble</t>
  </si>
  <si>
    <t>RUB</t>
  </si>
  <si>
    <t>Iran</t>
  </si>
  <si>
    <t>Rwandan franc</t>
  </si>
  <si>
    <t>RWF</t>
  </si>
  <si>
    <t>Iraq</t>
  </si>
  <si>
    <t>Saint Helena pound</t>
  </si>
  <si>
    <t>SHP</t>
  </si>
  <si>
    <t>R-507 o R-507A</t>
  </si>
  <si>
    <t>Ireland</t>
  </si>
  <si>
    <t>Samoan tala</t>
  </si>
  <si>
    <t>WST</t>
  </si>
  <si>
    <t>Isle of Man</t>
  </si>
  <si>
    <t>Sao Tome and Principe dobra</t>
  </si>
  <si>
    <t>STD</t>
  </si>
  <si>
    <t>Israel</t>
  </si>
  <si>
    <t>Saudi riyal</t>
  </si>
  <si>
    <t>R-509 o R-509A</t>
  </si>
  <si>
    <t>Serbian dinar</t>
  </si>
  <si>
    <t>RSD</t>
  </si>
  <si>
    <t>Jamaica</t>
  </si>
  <si>
    <t>Seychelles rupee</t>
  </si>
  <si>
    <t>SCR</t>
  </si>
  <si>
    <t>(CE#16)</t>
  </si>
  <si>
    <t>Sierra Leone leone</t>
  </si>
  <si>
    <t>SLL</t>
  </si>
  <si>
    <t>R-512A</t>
  </si>
  <si>
    <t>Singapore dollar</t>
  </si>
  <si>
    <t>SGD</t>
  </si>
  <si>
    <t>R-600</t>
  </si>
  <si>
    <t>Butane</t>
  </si>
  <si>
    <t>Kazakhstan</t>
  </si>
  <si>
    <t>Solomon Islands dollar</t>
  </si>
  <si>
    <t>SBD</t>
  </si>
  <si>
    <t>R-600a</t>
  </si>
  <si>
    <t>Kenya</t>
  </si>
  <si>
    <t>Somali shilling</t>
  </si>
  <si>
    <t>SOS</t>
  </si>
  <si>
    <t>R-717</t>
  </si>
  <si>
    <t>Ammonia.</t>
  </si>
  <si>
    <t>Kiribati</t>
  </si>
  <si>
    <t>South African rand</t>
  </si>
  <si>
    <t>ZAR</t>
  </si>
  <si>
    <t>R-718</t>
  </si>
  <si>
    <t>Water. It is not considered as an anthropogenic GHG.</t>
  </si>
  <si>
    <t>Korea (North). Dem. People's Rep. of</t>
  </si>
  <si>
    <t>South Korean won</t>
  </si>
  <si>
    <t>KRW</t>
  </si>
  <si>
    <t>Korea (South). Republic of</t>
  </si>
  <si>
    <t>(CE#17)</t>
  </si>
  <si>
    <t>Korea (the Republic of)</t>
  </si>
  <si>
    <t>Sri Lanka rupee</t>
  </si>
  <si>
    <t>LKR</t>
  </si>
  <si>
    <t>Kosovo</t>
  </si>
  <si>
    <t>Sudanese pound</t>
  </si>
  <si>
    <t>SDG</t>
  </si>
  <si>
    <t>Kuwait</t>
  </si>
  <si>
    <t>Suriname dollar</t>
  </si>
  <si>
    <t>SRD</t>
  </si>
  <si>
    <t>Kyrgyzstan</t>
  </si>
  <si>
    <t>Swaziland lilangeni</t>
  </si>
  <si>
    <t>SZL</t>
  </si>
  <si>
    <t>Laos</t>
  </si>
  <si>
    <t>Swedish krona</t>
  </si>
  <si>
    <t>SEK</t>
  </si>
  <si>
    <t>Latvia</t>
  </si>
  <si>
    <t>Swiss franc</t>
  </si>
  <si>
    <t>CHF</t>
  </si>
  <si>
    <t>Lebanon</t>
  </si>
  <si>
    <t>Syrian pound</t>
  </si>
  <si>
    <t>SYP</t>
  </si>
  <si>
    <t>Lesotho</t>
  </si>
  <si>
    <t>Taiwan New dollar</t>
  </si>
  <si>
    <t>TWD</t>
  </si>
  <si>
    <t>Liberia</t>
  </si>
  <si>
    <t>Tajik somoni</t>
  </si>
  <si>
    <t>TJS</t>
  </si>
  <si>
    <t>Libya</t>
  </si>
  <si>
    <t>Tanzanian shilling</t>
  </si>
  <si>
    <t>TZS</t>
  </si>
  <si>
    <t>Liechtenstein</t>
  </si>
  <si>
    <t>Thai baht</t>
  </si>
  <si>
    <t>THB</t>
  </si>
  <si>
    <t>Lithuania</t>
  </si>
  <si>
    <t>Tongan pa'anga</t>
  </si>
  <si>
    <t>TOP</t>
  </si>
  <si>
    <t>Luxembourg</t>
  </si>
  <si>
    <t>Trinidad and Tobago dollar</t>
  </si>
  <si>
    <t>TTD</t>
  </si>
  <si>
    <t>Macao (China)</t>
  </si>
  <si>
    <t>Tunisian dinar</t>
  </si>
  <si>
    <t>TND</t>
  </si>
  <si>
    <t>Macedonia. North</t>
  </si>
  <si>
    <t>Turkish lira</t>
  </si>
  <si>
    <t>TRY</t>
  </si>
  <si>
    <t>Madagascar</t>
  </si>
  <si>
    <t>Turkmen new manat</t>
  </si>
  <si>
    <t>TMT</t>
  </si>
  <si>
    <t>Madeira (Portugal)</t>
  </si>
  <si>
    <t>UAE dirham</t>
  </si>
  <si>
    <t>AED</t>
  </si>
  <si>
    <t>Malawi</t>
  </si>
  <si>
    <t>Uganda new shilling</t>
  </si>
  <si>
    <t>UGX</t>
  </si>
  <si>
    <t>Ukrainian hryvnia</t>
  </si>
  <si>
    <t>UAH</t>
  </si>
  <si>
    <t>Uruguayan peso uruguayo</t>
  </si>
  <si>
    <t>UYU</t>
  </si>
  <si>
    <t>Mali</t>
  </si>
  <si>
    <t>US dollar</t>
  </si>
  <si>
    <t>USD</t>
  </si>
  <si>
    <t>Malta</t>
  </si>
  <si>
    <t>Uzbekistani sum</t>
  </si>
  <si>
    <t>UZS</t>
  </si>
  <si>
    <t>Marshall Islands</t>
  </si>
  <si>
    <t>Vanuatu vatu</t>
  </si>
  <si>
    <t>VUV</t>
  </si>
  <si>
    <t>Martinique (France)</t>
  </si>
  <si>
    <t>Venezuelan bolivar fuerte</t>
  </si>
  <si>
    <t>VEF</t>
  </si>
  <si>
    <t>Mauritania</t>
  </si>
  <si>
    <t>Vietnamese dong</t>
  </si>
  <si>
    <t>VND</t>
  </si>
  <si>
    <t>Mauritius</t>
  </si>
  <si>
    <t>Yemeni rial</t>
  </si>
  <si>
    <t>YER</t>
  </si>
  <si>
    <t>Mayotte (France)</t>
  </si>
  <si>
    <t>Zambian kwacha</t>
  </si>
  <si>
    <t>ZMK</t>
  </si>
  <si>
    <t>(CE#5)</t>
  </si>
  <si>
    <t>(14)</t>
  </si>
  <si>
    <t>Zimbabwe dollar</t>
  </si>
  <si>
    <t>ZWL</t>
  </si>
  <si>
    <t>Micronesia</t>
  </si>
  <si>
    <t>Local currency</t>
  </si>
  <si>
    <t>Moldova</t>
  </si>
  <si>
    <t>Monaco</t>
  </si>
  <si>
    <t>Mongolia</t>
  </si>
  <si>
    <t>Montenegro</t>
  </si>
  <si>
    <t>Montserrat</t>
  </si>
  <si>
    <t>Morocco</t>
  </si>
  <si>
    <t>Mozambique</t>
  </si>
  <si>
    <t>Myanmar</t>
  </si>
  <si>
    <t>Namibia</t>
  </si>
  <si>
    <t>Nauru</t>
  </si>
  <si>
    <t>Nepal</t>
  </si>
  <si>
    <t>Netherlands (the)</t>
  </si>
  <si>
    <t>Netherlands Antilles</t>
  </si>
  <si>
    <t>New Caledonia (France)</t>
  </si>
  <si>
    <t>New Zealand</t>
  </si>
  <si>
    <t>Nicaragua</t>
  </si>
  <si>
    <t>Niger</t>
  </si>
  <si>
    <t>Nigeria</t>
  </si>
  <si>
    <t>Niue</t>
  </si>
  <si>
    <t>Northern Mariana Islands (U.S.)</t>
  </si>
  <si>
    <t>Norway</t>
  </si>
  <si>
    <t>Pakistan</t>
  </si>
  <si>
    <t>Palau</t>
  </si>
  <si>
    <t>Panama</t>
  </si>
  <si>
    <t>Papua New Guinea</t>
  </si>
  <si>
    <t>Paraguay</t>
  </si>
  <si>
    <t>Peru</t>
  </si>
  <si>
    <t>Poland</t>
  </si>
  <si>
    <t>Puerto Rico (U.S.)</t>
  </si>
  <si>
    <t>Reunion (France)</t>
  </si>
  <si>
    <t>Romania</t>
  </si>
  <si>
    <t>(CE#18)</t>
  </si>
  <si>
    <t>Russian Federation (the)</t>
  </si>
  <si>
    <t>Rwanda</t>
  </si>
  <si>
    <t>Saint Helena (U.K.)</t>
  </si>
  <si>
    <t>Saint Kitts and Nevis</t>
  </si>
  <si>
    <t>Saint Lucia</t>
  </si>
  <si>
    <t>Saint Martin (France)</t>
  </si>
  <si>
    <t>Saint Pierre and Miquelon (France)</t>
  </si>
  <si>
    <t>Saint Vincent and Grenadines</t>
  </si>
  <si>
    <t>Samoa</t>
  </si>
  <si>
    <t>San Marino</t>
  </si>
  <si>
    <t>Sao Tomé &amp; Principe</t>
  </si>
  <si>
    <t>(CE#19)</t>
  </si>
  <si>
    <t>Senegal</t>
  </si>
  <si>
    <t>Serbia</t>
  </si>
  <si>
    <t>Seychelles</t>
  </si>
  <si>
    <t>Sierra Leone</t>
  </si>
  <si>
    <t>Sint Martin (Netherlands)</t>
  </si>
  <si>
    <t>Slovakia</t>
  </si>
  <si>
    <t>Slovenia</t>
  </si>
  <si>
    <t>Solomon Islands</t>
  </si>
  <si>
    <t>Somalia</t>
  </si>
  <si>
    <t>(CE#20)</t>
  </si>
  <si>
    <t>South Sudan</t>
  </si>
  <si>
    <t>Sri Lanka</t>
  </si>
  <si>
    <t>Sudan</t>
  </si>
  <si>
    <t>Suriname</t>
  </si>
  <si>
    <t>Sweden</t>
  </si>
  <si>
    <t>Syrian Arab Republic</t>
  </si>
  <si>
    <t>Taiwan</t>
  </si>
  <si>
    <t>Taiwan (Province of China)</t>
  </si>
  <si>
    <t>Tajikistan</t>
  </si>
  <si>
    <t>Tanzania</t>
  </si>
  <si>
    <t>Timor-Leste</t>
  </si>
  <si>
    <t>Togo</t>
  </si>
  <si>
    <t>Tonga</t>
  </si>
  <si>
    <t>Trinidad and Tobago</t>
  </si>
  <si>
    <t>Tunisia</t>
  </si>
  <si>
    <t>(CE#21)</t>
  </si>
  <si>
    <t>Turkmenistan</t>
  </si>
  <si>
    <t>Turks and Caicos Islands (U.K.)</t>
  </si>
  <si>
    <t>Tuvalu</t>
  </si>
  <si>
    <t>Uganda</t>
  </si>
  <si>
    <t>Ukraine</t>
  </si>
  <si>
    <t>United Kingdom</t>
  </si>
  <si>
    <t>(CE#9)</t>
  </si>
  <si>
    <t>United Kingdom of Great Britain and Northern Ireland (the)</t>
  </si>
  <si>
    <t>Uruguay</t>
  </si>
  <si>
    <t>(CE#6)</t>
  </si>
  <si>
    <t>(15)</t>
  </si>
  <si>
    <t>Uzbekistan</t>
  </si>
  <si>
    <t>Vanatu</t>
  </si>
  <si>
    <t>Venezuela</t>
  </si>
  <si>
    <t>Virgin Islands (U.S.)</t>
  </si>
  <si>
    <t>West Bank and Gaza</t>
  </si>
  <si>
    <t>Yemen</t>
  </si>
  <si>
    <t>Zambia</t>
  </si>
  <si>
    <t>Zanzibar (Tanzania)</t>
  </si>
  <si>
    <t>(CE#25) Tanzania value.</t>
  </si>
  <si>
    <t>Zimbabwe</t>
  </si>
  <si>
    <t>GHG total emissions (MTCO2e) Scope 1, 2 and 3</t>
  </si>
  <si>
    <t>Aux I</t>
  </si>
  <si>
    <t>Aux II</t>
  </si>
  <si>
    <t>Aux Sunburst</t>
  </si>
  <si>
    <t>Aux total emissions circular</t>
  </si>
  <si>
    <t>Total MTCO2e GHG Emissions for Scope 1,2,3</t>
  </si>
  <si>
    <t>Metrics</t>
  </si>
  <si>
    <t>Go back to Scope 1 and 2 Data</t>
  </si>
  <si>
    <t>Instrucciones</t>
  </si>
  <si>
    <t>1 - Complete each of the columns with the requested information. Only data with with a (*) are needed to estimate emissions. The rest of the data will provide you more information on this source to better define mitigation actions afterwards.</t>
  </si>
  <si>
    <t>2 - The columns "Type of equipment", "Gas used", "Was this equipment removed?", "Was this equipment refilled in the reporting year?" and "Unit" are completed through drop-down lists.</t>
  </si>
  <si>
    <r>
      <t>Serial Nº/ Internal ID N</t>
    </r>
    <r>
      <rPr>
        <vertAlign val="superscript"/>
        <sz val="12"/>
        <color theme="1"/>
        <rFont val="Arial"/>
        <family val="2"/>
        <scheme val="minor"/>
      </rPr>
      <t>o</t>
    </r>
  </si>
  <si>
    <t>Type of equipment (select from the list) (*)</t>
  </si>
  <si>
    <t>Location &amp; Description</t>
  </si>
  <si>
    <t>Refrigerator Capacity</t>
  </si>
  <si>
    <t>Date of Service</t>
  </si>
  <si>
    <r>
      <t xml:space="preserve">Type of gas </t>
    </r>
    <r>
      <rPr>
        <sz val="10"/>
        <rFont val="Calibri (Cuerpo)_x0000_"/>
      </rPr>
      <t>(select from the list) (*)</t>
    </r>
  </si>
  <si>
    <t>Number of maintenance visits in the reporting year</t>
  </si>
  <si>
    <t>Was this equipment removed?</t>
  </si>
  <si>
    <t xml:space="preserve">Was this equipment refilled in the reporting year? </t>
  </si>
  <si>
    <t>How much was the recharge in kilograms or lb? If you don't know, find the density and convert from liters/gallons to kilograms/lb</t>
  </si>
  <si>
    <t>Global Warming Potential</t>
  </si>
  <si>
    <t>Emissions in CO2e (kg)</t>
  </si>
  <si>
    <t>Capacity</t>
  </si>
  <si>
    <t>Quantity reloaded  (*)</t>
  </si>
  <si>
    <t>Unit (select from the list) (*)</t>
  </si>
  <si>
    <t>Quantity reloaded</t>
  </si>
  <si>
    <t>Institution / Organization</t>
  </si>
  <si>
    <t>Document / Dataset</t>
  </si>
  <si>
    <t>Section / Table</t>
  </si>
  <si>
    <t>URL</t>
  </si>
  <si>
    <t>IPCC</t>
  </si>
  <si>
    <t>2006 Guidelines. Volume 2. Chapter 1</t>
  </si>
  <si>
    <t>Table 1.2</t>
  </si>
  <si>
    <t>http://www.ipcc-nggip.iges.or.jp/public/2006gl/spanish/index.html</t>
  </si>
  <si>
    <t>2006 Guidelines. Volume 2. Chapter 2</t>
  </si>
  <si>
    <t>Table 2.4</t>
  </si>
  <si>
    <t>2006 Guidelines. Volume 2. Chapter 3</t>
  </si>
  <si>
    <t>Table 3.2.1</t>
  </si>
  <si>
    <t>Table 3.2.2</t>
  </si>
  <si>
    <t>Fourth Assessment Report</t>
  </si>
  <si>
    <t>Table 2.14</t>
  </si>
  <si>
    <t>https://www.ipcc.ch/publications_and_data/ar4/wg1/en/ch2s2-10-2.html</t>
  </si>
  <si>
    <t>Values corresponding to 100 years time horizon.</t>
  </si>
  <si>
    <t>ASHRAE</t>
  </si>
  <si>
    <t>Standard 34 - Designation and Safety Classification of Refrigerants</t>
  </si>
  <si>
    <t>Secretaría de Energía (actualmente Ministerio de Energía y Minería)</t>
  </si>
  <si>
    <t>Resolución 660/2015</t>
  </si>
  <si>
    <t>http://servicios.infoleg.gob.ar/infolegInternet/anexos/250000-254999/251066/norma.htm</t>
  </si>
  <si>
    <t>World Resources Institute / GHG Protocol</t>
  </si>
  <si>
    <t>GHG Emission Factors Compilation</t>
  </si>
  <si>
    <t>Table 14</t>
  </si>
  <si>
    <t>https://ghgprotocol.org/calculation-tools</t>
  </si>
  <si>
    <t>Table 18</t>
  </si>
  <si>
    <t>Department for Environment, Food and Rural Affairs and Department of Energy and Climate Change of UK.</t>
  </si>
  <si>
    <t>Defra Standard Set</t>
  </si>
  <si>
    <t>Business travel- air</t>
  </si>
  <si>
    <t>1. Average passenger values. Uplift effect (8%) was removed.
2. Radiative force effect (+90%) was removed in CO2 emission factor as there are still uncertanties regarding this effect.
3. Global Warming Potential was corrected in Methane and Nitrous Oxide emission factors.
4. Using a conservative approach, as the emission factor for medium trips was zero for Methane, long trips value was adopted.</t>
  </si>
  <si>
    <t>Ministerio de Ambiente y Desarrollo Sustentable</t>
  </si>
  <si>
    <t>Tercera Comunicación Nacional a la Convención Marco de Naciones Unidas sobre Cambio Climático</t>
  </si>
  <si>
    <t>http://unfccc.int/resource/docs/natc/argnc3s.pdf</t>
  </si>
  <si>
    <t>2006 Guidelines. Volume 5. Chapter 2</t>
  </si>
  <si>
    <t>Table 2.3</t>
  </si>
  <si>
    <t>1. As there are not default values for "Como las guías no ofrecen valores por defecto para las fracciones "Nappies" y "Garden and park waste", the average between Argentina, Costa Rica and Mexico values was adopted, unless for Australia and New Zeland where due to the values of the other categories, the remaining percentage had to be divided in equal shares and allocated among the categories without information.
2. When there was not information for a given category, the remaning percetage (to fulfill 100%) was divided in equal shares and allocated to these categories.</t>
  </si>
  <si>
    <t>Ministerio de Ambiente y Energía</t>
  </si>
  <si>
    <t>Inventario Nacional de GEIs y absorción de carbono</t>
  </si>
  <si>
    <t>Table 5.2</t>
  </si>
  <si>
    <t>http://unfccc.int/resource/docs/natc/crinir2.pdf</t>
  </si>
  <si>
    <t>Secretaría de Medio Ambiente y Recursos Naturales</t>
  </si>
  <si>
    <t>Quinta Comunicación Nacional a la Convención Marco de Naciones Unidas sobre Cambio Climático</t>
  </si>
  <si>
    <t>http://unfccc.int/resource/docs/natc/mexnc5s.pdf</t>
  </si>
  <si>
    <t>Ministerio de Vivienda, Ordenamiento Territorial y Medio Ambiente</t>
  </si>
  <si>
    <t>Segundo Informe Bienal a la CMNUCC sobre el Cambio Climático. Anexos al Capítulo 2.</t>
  </si>
  <si>
    <t>Table 36</t>
  </si>
  <si>
    <t>2017</t>
  </si>
  <si>
    <t>http://unfccc.int/files/national_reports/non-annex_i_parties/biennial_update_reports/submitted_burs/application/pdf/43207915_uruguay-bur2-1-2-anexo_capitulo_2_-_bur_2_uy.pdf</t>
  </si>
  <si>
    <t xml:space="preserve">For plastic, department average values (17%) was adopted. </t>
  </si>
  <si>
    <t>2006 Guidelines. Volume 5. Chapter 4</t>
  </si>
  <si>
    <t>Table 4.1</t>
  </si>
  <si>
    <t>Wet weight basis values.</t>
  </si>
  <si>
    <t>2006 Guidelines. Volume 5. Chapter 3</t>
  </si>
  <si>
    <t>Table 3.1</t>
  </si>
  <si>
    <t>Table 3.3</t>
  </si>
  <si>
    <t>For each temperature interval, average default value between wet and dry zone was adopted for the category "Bulk waste".</t>
  </si>
  <si>
    <t>Section 3.2.3</t>
  </si>
  <si>
    <t>Table 2.6</t>
  </si>
  <si>
    <t>Programa Brasileiro GHG Protocol</t>
  </si>
  <si>
    <t>Ferramenta do Programa Brasileiro GHG Protocol. Versão 2016.2</t>
  </si>
  <si>
    <t>Viagens a negocios</t>
  </si>
  <si>
    <t>Tables 1 y 15</t>
  </si>
  <si>
    <t>Resolución 6/2010 - Establécense las especificaciones de calidad que deberá cumplir el biodiesel.</t>
  </si>
  <si>
    <t>Anexo</t>
  </si>
  <si>
    <t>http://servicios.infoleg.gob.ar/infolegInternet/anexos/160000-164999/163911/norma.htm</t>
  </si>
  <si>
    <t>Average value.</t>
  </si>
  <si>
    <t>Green House Gas Protocol</t>
  </si>
  <si>
    <t>Global Warming Potential Values</t>
  </si>
  <si>
    <t>https://www.ghgprotocol.org/sites/default/files/ghgp/Global-Warming-Potential-Values%20%28Feb%2016%202016%29_1.pdf</t>
  </si>
  <si>
    <t>UN Enviroment</t>
  </si>
  <si>
    <t>GWP-ODP Calculator</t>
  </si>
  <si>
    <t>https://www.unenvironment.org/ozonaction/gwp-odp-calculator</t>
  </si>
  <si>
    <t>Cuarto Informe de Evaluación</t>
  </si>
  <si>
    <t>Table 2.15</t>
  </si>
  <si>
    <t>International Anesthesia Research Society</t>
  </si>
  <si>
    <t>Life Cycle Greenhouse Gas Emissions of Anesthetic Drugs</t>
  </si>
  <si>
    <t>BOC</t>
  </si>
  <si>
    <t>Medical nitrous oxide / Medical Gas Data Sheet</t>
  </si>
  <si>
    <t>https://www.boconline.co.uk/en/images/medical_nitrous_oxide_tcm410-55835.pdf</t>
  </si>
  <si>
    <t>Medical carbon dioxide / Medical Gas Data Sheet</t>
  </si>
  <si>
    <t>https://www.bochealthcare.co.uk/en/images/HLC_506810-MGDS%20Medical%20carbon%20dioxide%28web%29_tcm409-61147.pdf</t>
  </si>
  <si>
    <t>EPA</t>
  </si>
  <si>
    <t>Simplified GHG Emissions Calculator Version 5</t>
  </si>
  <si>
    <t>Heat content &amp; Unit Convertions</t>
  </si>
  <si>
    <t>Pound to gram equivalence: 1lb = 453.592g</t>
  </si>
  <si>
    <t>Scope 2 Summary Table (Egrid Power Profiler)</t>
  </si>
  <si>
    <t>Scope 2 emissions</t>
  </si>
  <si>
    <t>Summary Data | US EPA</t>
  </si>
  <si>
    <t>National Institute for Health and Care Excellence</t>
  </si>
  <si>
    <t>Patient decision aid / Inhalers for asthma</t>
  </si>
  <si>
    <t>https://www.nice.org.uk/guidance/ng80/resources/inhalers-for-asthma-patient-decision-aid-pdf-6727144573</t>
  </si>
  <si>
    <t>Ethanol Blend in gasoline</t>
  </si>
  <si>
    <t>Scope 1 Mobile Fleet Combustion</t>
  </si>
  <si>
    <t>Ethanol explained - use of ethanol - U.S. Energy Information Administration (EIA)</t>
  </si>
  <si>
    <t>Biodiesel Blend in Diesel Fuel</t>
  </si>
  <si>
    <t>Biofuels explained - use and supply - U.S. Energy Information Administration (EIA)</t>
  </si>
  <si>
    <t>GWP of Waste Anesthetic Gases</t>
  </si>
  <si>
    <t>Scope 1 Fugitive Emissions / Anesthetic Gases</t>
  </si>
  <si>
    <t>Understanding Global Warming Potentials | US EPA</t>
  </si>
  <si>
    <r>
      <t xml:space="preserve">1 - For each of the anesthetic gases, indicate the number of bottles </t>
    </r>
    <r>
      <rPr>
        <b/>
        <u/>
        <sz val="12"/>
        <color rgb="FFFF0000"/>
        <rFont val="Arial"/>
        <family val="2"/>
        <scheme val="minor"/>
      </rPr>
      <t>purchased</t>
    </r>
    <r>
      <rPr>
        <b/>
        <sz val="12"/>
        <color theme="1"/>
        <rFont val="Arial"/>
        <family val="2"/>
        <scheme val="minor"/>
      </rPr>
      <t xml:space="preserve"> (not administered)</t>
    </r>
    <r>
      <rPr>
        <sz val="12"/>
        <color theme="1"/>
        <rFont val="Arial"/>
        <family val="2"/>
        <scheme val="minor"/>
      </rPr>
      <t xml:space="preserve"> for each container size. </t>
    </r>
    <r>
      <rPr>
        <b/>
        <sz val="12"/>
        <color theme="1"/>
        <rFont val="Arial"/>
        <family val="2"/>
        <scheme val="minor"/>
      </rPr>
      <t>Compare</t>
    </r>
    <r>
      <rPr>
        <sz val="12"/>
        <color theme="1"/>
        <rFont val="Arial"/>
        <family val="2"/>
        <scheme val="minor"/>
      </rPr>
      <t xml:space="preserve"> your purchased gases quantities to administered gases quantities to help identify</t>
    </r>
    <r>
      <rPr>
        <b/>
        <sz val="12"/>
        <color theme="1"/>
        <rFont val="Arial"/>
        <family val="2"/>
        <scheme val="minor"/>
      </rPr>
      <t xml:space="preserve"> gas leakage</t>
    </r>
    <r>
      <rPr>
        <sz val="12"/>
        <color theme="1"/>
        <rFont val="Arial"/>
        <family val="2"/>
        <scheme val="minor"/>
      </rPr>
      <t>.</t>
    </r>
  </si>
  <si>
    <r>
      <t>2- In N</t>
    </r>
    <r>
      <rPr>
        <vertAlign val="subscript"/>
        <sz val="12"/>
        <color theme="1"/>
        <rFont val="Arial"/>
        <family val="2"/>
        <scheme val="minor"/>
      </rPr>
      <t>2</t>
    </r>
    <r>
      <rPr>
        <sz val="12"/>
        <color theme="1"/>
        <rFont val="Arial"/>
        <family val="2"/>
        <scheme val="minor"/>
      </rPr>
      <t>O, N</t>
    </r>
    <r>
      <rPr>
        <vertAlign val="subscript"/>
        <sz val="12"/>
        <color theme="1"/>
        <rFont val="Arial"/>
        <family val="2"/>
        <scheme val="minor"/>
      </rPr>
      <t>2</t>
    </r>
    <r>
      <rPr>
        <sz val="12"/>
        <color theme="1"/>
        <rFont val="Arial"/>
        <family val="2"/>
        <scheme val="minor"/>
      </rPr>
      <t>O/O</t>
    </r>
    <r>
      <rPr>
        <vertAlign val="subscript"/>
        <sz val="12"/>
        <color theme="1"/>
        <rFont val="Arial"/>
        <family val="2"/>
        <scheme val="minor"/>
      </rPr>
      <t>2</t>
    </r>
    <r>
      <rPr>
        <sz val="12"/>
        <color theme="1"/>
        <rFont val="Arial"/>
        <family val="2"/>
        <scheme val="minor"/>
      </rPr>
      <t xml:space="preserve"> and CO</t>
    </r>
    <r>
      <rPr>
        <vertAlign val="subscript"/>
        <sz val="12"/>
        <color theme="1"/>
        <rFont val="Arial"/>
        <family val="2"/>
        <scheme val="minor"/>
      </rPr>
      <t>2</t>
    </r>
    <r>
      <rPr>
        <sz val="12"/>
        <color theme="1"/>
        <rFont val="Arial"/>
        <family val="2"/>
        <scheme val="minor"/>
      </rPr>
      <t xml:space="preserve"> fields, entered directly the total quantity delivered in pounds.</t>
    </r>
  </si>
  <si>
    <t>Calculations</t>
  </si>
  <si>
    <t>Anesthetic Agent</t>
  </si>
  <si>
    <t>Bottle Size (ml)</t>
  </si>
  <si>
    <t>Number of Bottles</t>
  </si>
  <si>
    <t>Gas</t>
  </si>
  <si>
    <t>Amount of Gas</t>
  </si>
  <si>
    <t>ml</t>
  </si>
  <si>
    <t>Density</t>
  </si>
  <si>
    <t>Emissions</t>
  </si>
  <si>
    <t>Bottle Size 1</t>
  </si>
  <si>
    <t>Bottle Size 2</t>
  </si>
  <si>
    <t>Bottle Size 3</t>
  </si>
  <si>
    <t>Density (kg/l)</t>
  </si>
  <si>
    <t>kgCO2e</t>
  </si>
  <si>
    <t>Density (kg/Lb)</t>
  </si>
  <si>
    <t>Completing this sheet is highly recommended, even though the information it requests is not directly used by the calculator to estimate emissions.</t>
  </si>
  <si>
    <t xml:space="preserve">At first it may appear to be a labor intensive activity without any concrete results, but having metadata (unit, year, reference, category) for each value used to estimate GHG footprint will be helpful when repeating this activity in subsequent years in order to ensure transparency and accuracy of calculations. </t>
  </si>
  <si>
    <t>Name of the parameter</t>
  </si>
  <si>
    <t>Source category where this parameter is used</t>
  </si>
  <si>
    <t>Year of the value</t>
  </si>
  <si>
    <t>Additional information (ie. comments, clarifications, etc.)</t>
  </si>
  <si>
    <t>note, outpatient type
must be selected</t>
  </si>
  <si>
    <t>Outpatient type (mandatory)</t>
  </si>
  <si>
    <t>Updated Scope 2 emission factors per region to 2022 EPA data set, Aded Market-Based Electricity input to Scope 2, Updated Waste Anesthetic Gases and Refrigerants to AR6 values</t>
  </si>
  <si>
    <t>https://www.ipcc-nggip.iges.or.jp/public/2006gl/pdf/2_Volume2/V2_2_Ch2_Stationary_Combustion.pdf</t>
  </si>
  <si>
    <t>Table A1 District Steam Current Year Usage</t>
  </si>
  <si>
    <t>Table A1 District Hot Water Current Year Usage</t>
  </si>
  <si>
    <t>Table A1 District Chilled Water- Electric Driven Chiller Current Year Usage</t>
  </si>
  <si>
    <t>Table A1 District Chilled Water- Absorption Chiller using Natural Gas Current Year Usage</t>
  </si>
  <si>
    <t>Table A1 District Chilled Water- Engine-Driven Chiller Natural Gas Current Year Usage</t>
  </si>
  <si>
    <t>HFC-161</t>
  </si>
  <si>
    <t>HFC-236cb</t>
  </si>
  <si>
    <t>Sixth Assessment Report</t>
  </si>
  <si>
    <t>Table 7.15</t>
  </si>
  <si>
    <t>https://ghgprotocol.org/sites/default/files/2024-08/Global-Warming-Potential-Values%20%28August%202024%29.pdf</t>
  </si>
  <si>
    <t>(39)</t>
  </si>
  <si>
    <t>PFC-31-10</t>
  </si>
  <si>
    <t>PFC-41-12</t>
  </si>
  <si>
    <t>PFC-51-14</t>
  </si>
  <si>
    <t>PFC-91-18</t>
  </si>
  <si>
    <t>Trifluoromethyl Sulfur pentafluoride (SF5CF3)</t>
  </si>
  <si>
    <t>https://www.ipcc-nggip.iges.or.jp/public/2006gl/pdf/2_Volume2/V2_1_Ch1_Introduction.pdf &lt;--link to English version, pg 18 of pdf</t>
  </si>
  <si>
    <t>CO2e for Gallons of Fuel</t>
  </si>
  <si>
    <t>?? Conversion to gallons?</t>
  </si>
  <si>
    <t>ENERGY PAGE</t>
  </si>
  <si>
    <t>GHG Conversion for Energy Page: See on Calculations Tab as an argument, not coded as a protected function</t>
  </si>
  <si>
    <t>QID</t>
  </si>
  <si>
    <t>Energy Source KBTUs</t>
  </si>
  <si>
    <t>pghq_energy_2_7_a2_6</t>
  </si>
  <si>
    <t>Natural Gas Baseline</t>
  </si>
  <si>
    <t>pghq_energy_2_7_a2_7</t>
  </si>
  <si>
    <t>Natural Gas Previous</t>
  </si>
  <si>
    <t>pghq_energy_2_7_a2_8</t>
  </si>
  <si>
    <t>Natural Gas Current</t>
  </si>
  <si>
    <t>pghq_energy_2_7_a2_11</t>
  </si>
  <si>
    <t>Fuel Oil (#2) Baseline</t>
  </si>
  <si>
    <t>pghq_energy_2_7_a2_12</t>
  </si>
  <si>
    <t>Fuel Oil (#2) Previous</t>
  </si>
  <si>
    <t>pghq_energy_2_7_a2_13</t>
  </si>
  <si>
    <t>Fuel Oil (#2) Current</t>
  </si>
  <si>
    <t>pghq_energy_2_7_a2_16</t>
  </si>
  <si>
    <t>District Steam Baseline</t>
  </si>
  <si>
    <t>pghq_energy_2_7_a2_17</t>
  </si>
  <si>
    <t>District Steam Previous</t>
  </si>
  <si>
    <t>pghq_energy_2_7_a2_18</t>
  </si>
  <si>
    <t>District Steam Current</t>
  </si>
  <si>
    <t>pghq_energy_2_7_a2_36</t>
  </si>
  <si>
    <t>District Hot Water Baseline</t>
  </si>
  <si>
    <t>pghq_energy_2_7_a2_37</t>
  </si>
  <si>
    <t>District Hot Water Previous</t>
  </si>
  <si>
    <t>pghq_energy_2_7_a2_38</t>
  </si>
  <si>
    <t>District Hot Water Current</t>
  </si>
  <si>
    <t>pghq_energy_2_7_a2_21</t>
  </si>
  <si>
    <t>District Chilled Water- Electric Driven Chiller Baseline</t>
  </si>
  <si>
    <t>pghq_energy_2_7_a2_22</t>
  </si>
  <si>
    <t>District Chilled Water- Electric Driven Chiller Previous</t>
  </si>
  <si>
    <t>pghq_energy_2_7_a2_23</t>
  </si>
  <si>
    <t>District Chilled Water- Electric Driven Chiller Current</t>
  </si>
  <si>
    <t>pghq_energy_2_7_a2_26</t>
  </si>
  <si>
    <t>District Chilled Water- Absorption Chiller using Natural Gas Baseline</t>
  </si>
  <si>
    <t>pghq_energy_2_7_a2_27</t>
  </si>
  <si>
    <t>District Chilled Water- Absorption Chiller using Natural Gas Previous</t>
  </si>
  <si>
    <t>pghq_energy_2_7_a2_28</t>
  </si>
  <si>
    <t>District Chilled Water- Absorption Chiller using Natural Gas Current</t>
  </si>
  <si>
    <t>pghq_energy_2_7_a2_31</t>
  </si>
  <si>
    <t>District Chilled Water- Engine-Driven Chiller Natural Gas Baseline</t>
  </si>
  <si>
    <t>pghq_energy_2_7_a2_32</t>
  </si>
  <si>
    <t>District Chilled Water- Engine-Driven Chiller Natural Gas Previous</t>
  </si>
  <si>
    <t>pghq_energy_2_7_a2_33</t>
  </si>
  <si>
    <t>District Chilled Water- Engine-Driven Chiller Natural Gas Current</t>
  </si>
  <si>
    <t>pghq_energy_2_7_a2_41</t>
  </si>
  <si>
    <t>Diesel Baseline</t>
  </si>
  <si>
    <t>pghq_energy_2_7_a2_42</t>
  </si>
  <si>
    <t>Diesel Previous</t>
  </si>
  <si>
    <t>pghq_energy_2_7_a2_43</t>
  </si>
  <si>
    <t>Diesel Current</t>
  </si>
  <si>
    <t>pghq_energy_2_7_a2_46</t>
  </si>
  <si>
    <t>Propane Baseline</t>
  </si>
  <si>
    <t>pghq_energy_2_7_a2_47</t>
  </si>
  <si>
    <t>Propane Previous</t>
  </si>
  <si>
    <t>pghq_energy_2_7_a2_48</t>
  </si>
  <si>
    <t>Propane Current</t>
  </si>
  <si>
    <t>Conversion Factor</t>
  </si>
  <si>
    <t>Current</t>
  </si>
  <si>
    <t>New</t>
  </si>
  <si>
    <t>MTCO2e/kbtu</t>
  </si>
  <si>
    <t>Note: MTco2e/kbtu = kgco2e per mbtu / 1,000,0000</t>
  </si>
  <si>
    <t>1MTCo2e = 1000 kg CO2e</t>
  </si>
  <si>
    <t>Yellow = need to double-check, this is a big variance</t>
  </si>
  <si>
    <t>Input</t>
  </si>
  <si>
    <t>Current Year Usage - Electricity</t>
  </si>
  <si>
    <t>Current Year Usage Units - Electricity</t>
  </si>
  <si>
    <t>Market-Based Emissions - Purchased Electricity - Current Year kWh</t>
  </si>
  <si>
    <t>Market-Based Emissions - Purchased Electricity - Current Year Conversion Factor (kWh to kgCO2e)</t>
  </si>
  <si>
    <t>Table A1 District Steam Current Year Usage - Units</t>
  </si>
  <si>
    <t>Table A1 District Hot Water Current Year Usage - Units</t>
  </si>
  <si>
    <t>Table A1 District Chilled Water- Electric Driven Chiller Current Year Usage - Units</t>
  </si>
  <si>
    <t>Table A1 District Chilled Water- Absorption Chiller using Natural Gas Current Year Usage - Units</t>
  </si>
  <si>
    <t>Table A1 District Chilled Water- Engine-Driven Chiller Natural Gas Current Year Usage - Units</t>
  </si>
  <si>
    <t>Refrigerants and Fire Suppression (Calculated Internally)</t>
  </si>
  <si>
    <t>Stationary Combustion (HSC - Calculated Internally)</t>
  </si>
  <si>
    <t>Mobile Combustion (HSC - Calculated Internally)</t>
  </si>
  <si>
    <t>Refrigerants and Fire Suppression (HSC - Calculated Internally)</t>
  </si>
  <si>
    <t>Inhaled Anesthetic Gases (HSC - Calculated Internally)</t>
  </si>
  <si>
    <t>Purchased Electricity (PFC - Calculated Externally)</t>
  </si>
  <si>
    <t>Purchased Steam, Hot and Chilled Water (PFC - Calculated Externally)</t>
  </si>
  <si>
    <t>Purchased Electricity (HSC - Calculated Externally)</t>
  </si>
  <si>
    <t>Purchased Steam, Hot and Chilled Water (HSC - Calculated Externally)</t>
  </si>
  <si>
    <t>Purchased goods &amp; services (PFC - Calculated Internally)</t>
  </si>
  <si>
    <t>Capital goods (PFC - Calculated Internally)</t>
  </si>
  <si>
    <t>Waste generated in operations (PFC - Calculated Internally)</t>
  </si>
  <si>
    <t>Business travel (PFC - Calculated Internally)</t>
  </si>
  <si>
    <t>Employee commuting (PFC - Calculated Internally)</t>
  </si>
  <si>
    <t>Upstream leased assets (PFC - Calculated Internally)</t>
  </si>
  <si>
    <t>Upstream + Downstream Transportation &amp; Distribution (PFC - Calculated Internally)</t>
  </si>
  <si>
    <t>Other Scope 3 -  Use of Sold Products &amp; Investments (PFC - Calculated Internally)</t>
  </si>
  <si>
    <t>Stationary Combustion (PFC - Calculated Externally)</t>
  </si>
  <si>
    <t>Mobile Combustion (PFC - Calculated Externally)</t>
  </si>
  <si>
    <t>Refrigerants and Fire Suppression (PFC - Calculated Externally)</t>
  </si>
  <si>
    <t>Inhaled Anesthetic Gases (PFC - Calculated Externally)</t>
  </si>
  <si>
    <t>App (PFC or HSC)?</t>
  </si>
  <si>
    <t>HSC</t>
  </si>
  <si>
    <t>Total mL Isoflurane (PFC - Calculated Internally)</t>
  </si>
  <si>
    <t>Total mL Sevoflurane (PFC - Calculated Internally)</t>
  </si>
  <si>
    <t>Total mL Desflurane (PFC - Calculated Internally)</t>
  </si>
  <si>
    <t>Total mL N2O + N2O/O2 (PFC - Calculated Internally)</t>
  </si>
  <si>
    <t>PFC/HSC Current Year QID</t>
  </si>
  <si>
    <t>Baseline Year QID</t>
  </si>
  <si>
    <t>Previous Year QID</t>
  </si>
  <si>
    <t>climate_1_4_z</t>
  </si>
  <si>
    <t>Baseline Year QID:</t>
  </si>
  <si>
    <t>Number of Telehealth Visits</t>
  </si>
  <si>
    <t>Purchased goods &amp; services (HSC - Calculated Externally)</t>
  </si>
  <si>
    <t>Capital goods (HSC - Calculated Externally)</t>
  </si>
  <si>
    <t>Fuel- &amp; energy-related emissions (HSC - Calculated Externally)</t>
  </si>
  <si>
    <t>Upstream transportation &amp; distribution (HSC - Calculated Externally)</t>
  </si>
  <si>
    <t>Waste generated in operations (HSC - Calculated Externally)</t>
  </si>
  <si>
    <t>Business travel (HSC - Calculated Externally)</t>
  </si>
  <si>
    <t>Employee commuting (HSC - Calculated Externally)</t>
  </si>
  <si>
    <t>Upstream leased assets (HSC - Calculated Externally)</t>
  </si>
  <si>
    <t>Downstream transportation &amp; distribution
[Patient Visits &amp; Telehealth] (HSC - Calculated Externally)</t>
  </si>
  <si>
    <t>Use of sold products (HSC - Calculated Externally)</t>
  </si>
  <si>
    <t>Downstream leased assets (HSC - Calculated Externally)</t>
  </si>
  <si>
    <t>Investments (HSC - Calculated Externally)</t>
  </si>
  <si>
    <t>Scope 3 Category 3: Fuel- &amp; energy-related emissions (PFC - Calculated Externally)</t>
  </si>
  <si>
    <t>Scope 3 Category 4: Upstream transportation &amp; distribution (PFC - Calculated Externally)</t>
  </si>
  <si>
    <t>Scope 3 Category 5: Waste generated in operations (PFC - Calculated Externally)</t>
  </si>
  <si>
    <t>Scope 3 Category 6: Business travel (PFC - Calculated Externally)</t>
  </si>
  <si>
    <t>Scope 3 Category 1: Purchased goods &amp; services (PFC - Calculated Externally)</t>
  </si>
  <si>
    <t>Scope 3 Category 7: Employee commuting (PFC - Calculated Externally)</t>
  </si>
  <si>
    <t>Scope 3 Category 8: Upstream leased assets (PFC - Calculated Externally)</t>
  </si>
  <si>
    <t>Scope 3 Category 13:  Downstream leased assets (PFC - Calculated Externally)</t>
  </si>
  <si>
    <t>Scope 3 Category 11: Use of sold products (PFC - Calculated Externally)</t>
  </si>
  <si>
    <t>Scope 3 Category 15: Investments (PFC - Calculated Externally)</t>
  </si>
  <si>
    <t>Scope 3 Category 2: Capital goods (PFC - Calculated Externally)</t>
  </si>
  <si>
    <t>Scope 3 Category 9: Downstream transportation &amp; distribution
[Patient Visits &amp; Telehealth] (PFC - Calculated Externally)</t>
  </si>
  <si>
    <t>Scope 3: Fuel- &amp; energy-related emissions (PFC - Calculated Internally)</t>
  </si>
  <si>
    <r>
      <t>Total number of system </t>
    </r>
    <r>
      <rPr>
        <b/>
        <sz val="10"/>
        <color rgb="FF555555"/>
        <rFont val="Arial"/>
        <family val="2"/>
        <scheme val="minor"/>
      </rPr>
      <t>employees</t>
    </r>
    <r>
      <rPr>
        <sz val="10"/>
        <color rgb="FF555555"/>
        <rFont val="Arial"/>
        <family val="2"/>
        <scheme val="minor"/>
      </rPr>
      <t>:</t>
    </r>
  </si>
  <si>
    <t>Total Square Footage</t>
  </si>
  <si>
    <t>Total Number of Staffed Beds</t>
  </si>
  <si>
    <t>Total Number of Operating Rooms</t>
  </si>
  <si>
    <t>Current Data Year</t>
  </si>
  <si>
    <t>pghq_climate_1_5_18</t>
  </si>
  <si>
    <t>pghq_climate_1_5_18_a1</t>
  </si>
  <si>
    <t>pghq_climate_1_5_18_b1</t>
  </si>
  <si>
    <t>pghq_climate_1_5_19</t>
  </si>
  <si>
    <t>pghq_climate_1_5_19_a1</t>
  </si>
  <si>
    <t>pghq_climate_1_5_19_b1</t>
  </si>
  <si>
    <t>pghq_climate_1_5_24</t>
  </si>
  <si>
    <t>pghq_climate_1_5_24_a1</t>
  </si>
  <si>
    <t>pghq_climate_1_5_24_b1</t>
  </si>
  <si>
    <t>pghq_climate_1_5_31</t>
  </si>
  <si>
    <t>pghq_climate_1_5_31_a1</t>
  </si>
  <si>
    <t>pghq_climate_1_5_31_b1</t>
  </si>
  <si>
    <t>pghq_climate_1_5_32</t>
  </si>
  <si>
    <t>pghq_climate_1_5_32_a1</t>
  </si>
  <si>
    <t>pghq_climate_1_5_32_b1</t>
  </si>
  <si>
    <t>pghq_climate_1_5_33</t>
  </si>
  <si>
    <t>pghq_climate_1_5_33_a1</t>
  </si>
  <si>
    <t>pghq_climate_1_5_33_b1</t>
  </si>
  <si>
    <t>pghq_climate_1_5_34</t>
  </si>
  <si>
    <t>pghq_climate_1_5_34_a1</t>
  </si>
  <si>
    <t>pghq_climate_1_5_34_b1</t>
  </si>
  <si>
    <t>pghq_climate_1_5_35</t>
  </si>
  <si>
    <t>pghq_climate_1_5_35_a1</t>
  </si>
  <si>
    <t>pghq_climate_1_5_35_b1</t>
  </si>
  <si>
    <t>pghq_climate_1_5_38</t>
  </si>
  <si>
    <t>pghq_climate_1_5_38_a1</t>
  </si>
  <si>
    <t>pghq_climate_1_5_38_b1</t>
  </si>
  <si>
    <t>pghq_climate_1_5_7</t>
  </si>
  <si>
    <t>pghq_climate_1_5_7_a1</t>
  </si>
  <si>
    <t>pghq_climate_1_5_7_b1</t>
  </si>
  <si>
    <t>pghq_climate_6_2_1_t13</t>
  </si>
  <si>
    <t>pghq_climate_6_2_1_t11</t>
  </si>
  <si>
    <t>pghq_climate_6_2_1_t12</t>
  </si>
  <si>
    <t>pghq_climate_6_2_1_t18</t>
  </si>
  <si>
    <t>pghq_climate_6_2_1_t16</t>
  </si>
  <si>
    <t>pghq_climate_6_2_1_t17</t>
  </si>
  <si>
    <t>pghq_climate_6_2_1_t3</t>
  </si>
  <si>
    <t>pghq_climate_6_2_1_t1</t>
  </si>
  <si>
    <t>pghq_climate_6_2_1_t2</t>
  </si>
  <si>
    <t>pghq_climate_6_2_1_t8</t>
  </si>
  <si>
    <t>pghq_climate_6_2_1_t6</t>
  </si>
  <si>
    <t>pghq_climate_6_2_1_t7</t>
  </si>
  <si>
    <t>pghq_climate_6_2_2_t3</t>
  </si>
  <si>
    <t>pghq_climate_6_2_2_t1</t>
  </si>
  <si>
    <t>pghq_climate_6_2_2_t2</t>
  </si>
  <si>
    <t>pghq_climate_6_2_2_t8</t>
  </si>
  <si>
    <t>pghq_climate_6_2_2_t6</t>
  </si>
  <si>
    <t>pghq_climate_6_2_2_t7</t>
  </si>
  <si>
    <t>pghq_climate_6_2_3_t13</t>
  </si>
  <si>
    <t>pghq_climate_6_2_3_t11</t>
  </si>
  <si>
    <t>pghq_climate_6_2_3_t12</t>
  </si>
  <si>
    <t>pghq_climate_6_2_3_t18</t>
  </si>
  <si>
    <t>pghq_climate_6_2_3_t16</t>
  </si>
  <si>
    <t>pghq_climate_6_2_3_t17</t>
  </si>
  <si>
    <t>pghq_climate_6_2_3_t23</t>
  </si>
  <si>
    <t>pghq_climate_6_2_3_t21</t>
  </si>
  <si>
    <t>pghq_climate_6_2_3_t22</t>
  </si>
  <si>
    <t>pghq_climate_6_2_3_t28</t>
  </si>
  <si>
    <t>pghq_climate_6_2_3_t26</t>
  </si>
  <si>
    <t>pghq_climate_6_2_3_t27</t>
  </si>
  <si>
    <t>pghq_climate_6_2_3_t3</t>
  </si>
  <si>
    <t>pghq_climate_6_2_3_t1</t>
  </si>
  <si>
    <t>pghq_climate_6_2_3_t2</t>
  </si>
  <si>
    <t>pghq_climate_6_2_3_t33</t>
  </si>
  <si>
    <t>pghq_climate_6_2_3_t31</t>
  </si>
  <si>
    <t>pghq_climate_6_2_3_t32</t>
  </si>
  <si>
    <t>pghq_climate_6_2_3_t38</t>
  </si>
  <si>
    <t>pghq_climate_6_2_3_t36</t>
  </si>
  <si>
    <t>pghq_climate_6_2_3_t37</t>
  </si>
  <si>
    <t>pghq_climate_6_2_3_t48</t>
  </si>
  <si>
    <t>pghq_climate_6_2_3_t46</t>
  </si>
  <si>
    <t>pghq_climate_6_2_3_t47</t>
  </si>
  <si>
    <t>pghq_climate_6_2_3_t58</t>
  </si>
  <si>
    <t>pghq_climate_6_2_3_t56</t>
  </si>
  <si>
    <t>pghq_climate_6_2_3_t57</t>
  </si>
  <si>
    <t>pghq_climate_6_2_3_t68</t>
  </si>
  <si>
    <t>pghq_climate_6_2_3_t66</t>
  </si>
  <si>
    <t>pghq_climate_6_2_3_t67</t>
  </si>
  <si>
    <t>pghq_climate_6_2_3_t8</t>
  </si>
  <si>
    <t>pghq_climate_6_2_3_t6</t>
  </si>
  <si>
    <t>pghq_climate_6_2_3_t7</t>
  </si>
  <si>
    <t>pghq_climate_6_2_3_t81</t>
  </si>
  <si>
    <t>pghq_climate_6_2_3_t79</t>
  </si>
  <si>
    <t>pghq_climate_6_2_3_t80</t>
  </si>
  <si>
    <t>pghq_demographic_1_7_1</t>
  </si>
  <si>
    <t>pghq_energy_2_7_16</t>
  </si>
  <si>
    <t>pghq_energy_2_7_18</t>
  </si>
  <si>
    <t>pghq_energy_2_7_19</t>
  </si>
  <si>
    <t>pghq_energy_2_7_17</t>
  </si>
  <si>
    <t>pghq_energy_2_7_45</t>
  </si>
  <si>
    <t>pghq_energy_2_7_54</t>
  </si>
  <si>
    <t>pghq_energy_2_7_20z</t>
  </si>
  <si>
    <t>pghq_energy_2_7_22z</t>
  </si>
  <si>
    <t>pghq_energy_2_7_23z</t>
  </si>
  <si>
    <t>pghq_energy_2_7_20z1</t>
  </si>
  <si>
    <t>pghq_energy_2_7_22z1</t>
  </si>
  <si>
    <t>pghq_energy_2_7_23z1</t>
  </si>
  <si>
    <t>pghq_energy_2_7_20z2</t>
  </si>
  <si>
    <t>pghq_energy_2_7_22z2</t>
  </si>
  <si>
    <t>pghq_energy_2_7_23z2</t>
  </si>
  <si>
    <t>pghq_energy_2_7_21z</t>
  </si>
  <si>
    <t>pghq_energy_2_7_46z</t>
  </si>
  <si>
    <t>pghq_energy_2_7_55z</t>
  </si>
  <si>
    <t>pghq_energy_2_7_21z1</t>
  </si>
  <si>
    <t>pghq_energy_2_7_46z1</t>
  </si>
  <si>
    <t>pghq_energy_2_7_55z1</t>
  </si>
  <si>
    <t>pghq_energy_2_7_21z2</t>
  </si>
  <si>
    <t>pghq_energy_2_7_46z2</t>
  </si>
  <si>
    <t>pghq_energy_2_7_55z2</t>
  </si>
  <si>
    <t>pghq_energy_2_7_24</t>
  </si>
  <si>
    <t>pghq_energy_2_7_26</t>
  </si>
  <si>
    <t>pghq_energy_2_7_27</t>
  </si>
  <si>
    <t>pghq_energy_2_7_25</t>
  </si>
  <si>
    <t>pghq_energy_2_7_47</t>
  </si>
  <si>
    <t>pghq_energy_2_7_56</t>
  </si>
  <si>
    <t>pghq_energy_2_7_4</t>
  </si>
  <si>
    <t>pghq_energy_2_7_6</t>
  </si>
  <si>
    <t>pghq_energy_2_7_7</t>
  </si>
  <si>
    <t>pghq_energy_2_7_5</t>
  </si>
  <si>
    <t>pghq_energy_2_7_42</t>
  </si>
  <si>
    <t>pghq_energy_2_7_51</t>
  </si>
  <si>
    <t>pghq_energy_712</t>
  </si>
  <si>
    <t>pghq_energy_710</t>
  </si>
  <si>
    <t>pghq_energy_711</t>
  </si>
  <si>
    <t>pghq_energy_715</t>
  </si>
  <si>
    <t>pghq_energy_713</t>
  </si>
  <si>
    <t>pghq_energy_714</t>
  </si>
  <si>
    <t>pghq_gor_4_7_11</t>
  </si>
  <si>
    <t>pghq_gor_4_7_9</t>
  </si>
  <si>
    <t>pghq_gor_4_7_10</t>
  </si>
  <si>
    <t>pghq_gor_4_7_23</t>
  </si>
  <si>
    <t>pghq_gor_4_7_21</t>
  </si>
  <si>
    <t>pghq_gor_4_7_22</t>
  </si>
  <si>
    <t>pghq_gor_4_7_34</t>
  </si>
  <si>
    <t>pghq_gor_4_7_38</t>
  </si>
  <si>
    <t>pghq_gor_4_7_33</t>
  </si>
  <si>
    <t>pghq_gor_4_9_tJ_1_z</t>
  </si>
  <si>
    <t>pghq_gor_4_9_tJ_1_z_a1</t>
  </si>
  <si>
    <t>pghq_gor_4_9_tJ_1_z_b1</t>
  </si>
  <si>
    <t>pghq_transportation_4_3_tD_2</t>
  </si>
  <si>
    <t>pghq_transportation_4_3_tD_1</t>
  </si>
  <si>
    <t>pghq_transportation_4_3_tD_8</t>
  </si>
  <si>
    <t>pghq_climate_6_2_3_t13_sys</t>
  </si>
  <si>
    <t>pghq_climate_6_2_3_t11_sys</t>
  </si>
  <si>
    <t>pghq_climate_6_2_3_t12_sys</t>
  </si>
  <si>
    <t>pghq_climate_6_2_3_t18_sys</t>
  </si>
  <si>
    <t>pghq_climate_6_2_3_t16_sys</t>
  </si>
  <si>
    <t>pghq_climate_6_2_3_t17_sys</t>
  </si>
  <si>
    <t>pghq_climate_6_2_3_t23_sys</t>
  </si>
  <si>
    <t>pghq_climate_6_2_3_t21_sys</t>
  </si>
  <si>
    <t>pghq_climate_6_2_3_t22_sys</t>
  </si>
  <si>
    <t>pghq_climate_6_2_3_t28_sys</t>
  </si>
  <si>
    <t>pghq_climate_6_2_3_t26_sys</t>
  </si>
  <si>
    <t>pghq_climate_6_2_3_t27_sys</t>
  </si>
  <si>
    <t>pghq_climate_6_2_3_t3_sys</t>
  </si>
  <si>
    <t>pghq_climate_6_2_3_t1_sys</t>
  </si>
  <si>
    <t>pghq_climate_6_2_3_t2_sys</t>
  </si>
  <si>
    <t>pghq_climate_6_2_3_t33_sys</t>
  </si>
  <si>
    <t>pghq_climate_6_2_3_t31_sys</t>
  </si>
  <si>
    <t>pghq_climate_6_2_3_t32_sys</t>
  </si>
  <si>
    <t>pghq_climate_6_2_3_t38_sys</t>
  </si>
  <si>
    <t>pghq_climate_6_2_3_t36_sys</t>
  </si>
  <si>
    <t>pghq_climate_6_2_3_t37_sys</t>
  </si>
  <si>
    <t>pghq_climate_6_2_3_t48_sys</t>
  </si>
  <si>
    <t>pghq_climate_6_2_3_t46_sys</t>
  </si>
  <si>
    <t>pghq_climate_6_2_3_t47_sys</t>
  </si>
  <si>
    <t>pghq_climate_6_2_3_t58_sys</t>
  </si>
  <si>
    <t>pghq_climate_6_2_3_t56_sys</t>
  </si>
  <si>
    <t>pghq_climate_6_2_3_t57_sys</t>
  </si>
  <si>
    <t>pghq_climate_6_2_3_t68_sys</t>
  </si>
  <si>
    <t>pghq_climate_6_2_3_t66_sys</t>
  </si>
  <si>
    <t>pghq_climate_6_2_3_t67_sys</t>
  </si>
  <si>
    <t>pghq_climate_6_2_3_t8_sys</t>
  </si>
  <si>
    <t>pghq_climate_6_2_3_t6_sys</t>
  </si>
  <si>
    <t>pghq_climate_6_2_3_t7_sys</t>
  </si>
  <si>
    <t>pghq_climate_6_2_3_t81_sys</t>
  </si>
  <si>
    <t>pghq_climate_6_2_3_t79_sys</t>
  </si>
  <si>
    <t>pghq_climate_6_2_3_t80_sys</t>
  </si>
  <si>
    <t>pghq_climate_6_2_1_t13_sys</t>
  </si>
  <si>
    <t>pghq_climate_6_2_1_t11_sys</t>
  </si>
  <si>
    <t>pghq_climate_6_2_1_t12_sys</t>
  </si>
  <si>
    <t>pghq_climate_6_2_1_t18_sys</t>
  </si>
  <si>
    <t>pghq_climate_6_2_1_t16_sys</t>
  </si>
  <si>
    <t>pghq_climate_6_2_1_t17_sys</t>
  </si>
  <si>
    <t>pghq_climate_6_2_1_t3_sys</t>
  </si>
  <si>
    <t>pghq_climate_6_2_1_t1_sys</t>
  </si>
  <si>
    <t>pghq_climate_6_2_1_t2_sys</t>
  </si>
  <si>
    <t>pghq_climate_6_2_1_t8_sys</t>
  </si>
  <si>
    <t>pghq_climate_6_2_1_t6_sys</t>
  </si>
  <si>
    <t>pghq_climate_6_2_1_t7_sys</t>
  </si>
  <si>
    <t>pghq_climate_6_2_2_t3_sys</t>
  </si>
  <si>
    <t>pghq_climate_6_2_2_t1_sys</t>
  </si>
  <si>
    <t>pghq_climate_6_2_2_t2_sys</t>
  </si>
  <si>
    <t>pghq_climate_6_2_2_t8_sys</t>
  </si>
  <si>
    <t>pghq_climate_6_2_2_t6_sys</t>
  </si>
  <si>
    <t>pghq_climate_6_2_2_t7_sys</t>
  </si>
  <si>
    <t>pghq_demographic_8_1_10</t>
  </si>
  <si>
    <t>pghq_demographic_8_1_11</t>
  </si>
  <si>
    <t>pghq_demographic_8_1_5</t>
  </si>
  <si>
    <t>pghq_demographic_8_1_12</t>
  </si>
  <si>
    <t>pghq_demographic_8_1_13</t>
  </si>
  <si>
    <t>https://journals.lww.com/anesthesia-analgesia/fulltext/2012/05000/life_cycle_greenhouse_gas_emissions_of_anesthetic.25.aspx</t>
  </si>
  <si>
    <t>https://www.thelancet.com/journals/lanplh/article/PIIS2542-5196(23)00084-0/fulltext</t>
  </si>
  <si>
    <t>Assessing the potential climate impact of anaesthetic gases by Mads Peter Sulbaek Andersen, PhD, Prof Ole John Nielsen, PhD, Jodi D Sherman, MD, The Lancet: Planetary Health, VOLUME 7, ISSUE 7, E622-E629, JULY 2023,</t>
  </si>
  <si>
    <t>(40)</t>
  </si>
  <si>
    <t>*calculator output is kgCO2e, app output is MTCO2e so divide by 1000</t>
  </si>
  <si>
    <t>Input Purchased (not administered) Amount</t>
  </si>
  <si>
    <t>Grid / Location-Based Electricity</t>
  </si>
  <si>
    <t>Market-Based Electricity</t>
  </si>
  <si>
    <r>
      <t xml:space="preserve">Before entering the requested data for each source, please indicate the type of data. Emissions will </t>
    </r>
    <r>
      <rPr>
        <b/>
        <i/>
        <sz val="11"/>
        <color theme="1"/>
        <rFont val="Arial"/>
        <family val="2"/>
        <scheme val="minor"/>
      </rPr>
      <t>not</t>
    </r>
    <r>
      <rPr>
        <i/>
        <sz val="11"/>
        <color theme="1"/>
        <rFont val="Arial"/>
        <family val="2"/>
        <scheme val="minor"/>
      </rPr>
      <t xml:space="preserve"> calculate without selecting an option for each source.                                         The possible options and their explanations are detailed below:</t>
    </r>
  </si>
  <si>
    <t>Quantity delivered</t>
  </si>
  <si>
    <t>Units</t>
  </si>
  <si>
    <t>mL</t>
  </si>
  <si>
    <t>lbs</t>
  </si>
  <si>
    <t xml:space="preserve">Anesthetics - N2O </t>
  </si>
  <si>
    <t>Density (kg/mL)</t>
  </si>
  <si>
    <t>1 - Enter the quantity of electricity consumed in the appropriate column.</t>
  </si>
  <si>
    <t>Electricity</t>
  </si>
  <si>
    <t>kBtu</t>
  </si>
  <si>
    <t>MMBtu</t>
  </si>
  <si>
    <t>Market-Based Emission Factor (kgCO2e/electricity purchased)</t>
  </si>
  <si>
    <t>Units
(select from dropdown)</t>
  </si>
  <si>
    <t>Amount Purchased</t>
  </si>
  <si>
    <t>Welcome to the GHG calculation tool for healthcare institutions developed by Health Care Without Harm and Practice Greenhealth for a U.S. or Canadian Health System or Facility. The calculator is going to calculate the GHG emissions for all Scope 1, 2, and 3 activities that fall under an organization's operational, financial or equity boundary.</t>
  </si>
  <si>
    <r>
      <rPr>
        <b/>
        <sz val="11"/>
        <color theme="1"/>
        <rFont val="Arial"/>
        <family val="2"/>
        <scheme val="minor"/>
      </rPr>
      <t>1- Select your region</t>
    </r>
    <r>
      <rPr>
        <sz val="11"/>
        <color theme="1"/>
        <rFont val="Arial"/>
        <family val="2"/>
        <scheme val="minor"/>
      </rPr>
      <t xml:space="preserve">      </t>
    </r>
    <r>
      <rPr>
        <b/>
        <sz val="11"/>
        <color rgb="FFFF0000"/>
        <rFont val="Arial"/>
        <family val="2"/>
        <scheme val="minor"/>
      </rPr>
      <t>THIS IS REQUIRED TO GET RESULTS</t>
    </r>
  </si>
  <si>
    <t xml:space="preserve">EPA </t>
  </si>
  <si>
    <t>eGRID 2023 Summary Table</t>
  </si>
  <si>
    <t>https://www.epa.gov/egrid/summary-data</t>
  </si>
  <si>
    <t>Download Summary Table in xlsx, use CO2e factor under Table 1, "Total output emissions rates" (units are lbs/MWh). Last updated 1/17/2025 with 2023 values</t>
  </si>
  <si>
    <t>Table 1, CO2e values under "Total Output Emissions Rates section"</t>
  </si>
  <si>
    <t>Wholesaler / Retailer / Distributer</t>
  </si>
  <si>
    <t xml:space="preserve">Updated Scope 2 emission factors per region to 2023 EPA data set, added Canada emission factors for Scope 2, added more units of measurement to Scope 1 and 2 data inputs, and fixed some activities that were not calculating totals. </t>
  </si>
  <si>
    <r>
      <rPr>
        <b/>
        <sz val="11"/>
        <color theme="1"/>
        <rFont val="Arial"/>
        <family val="2"/>
        <scheme val="minor"/>
      </rPr>
      <t>2.1.0</t>
    </r>
    <r>
      <rPr>
        <sz val="11"/>
        <color theme="1"/>
        <rFont val="Arial"/>
        <family val="2"/>
        <scheme val="minor"/>
      </rPr>
      <t xml:space="preserve"> - April 2025</t>
    </r>
  </si>
  <si>
    <t>- IPCC Sixth Assessment Report (2023) Global Warming Potential (GWP) values for non-CO2 greenhouse gases.</t>
  </si>
  <si>
    <t>Note, totals will auto-populate once worksheets are completed with activity data</t>
  </si>
  <si>
    <t>Percent 
of Total Scope 3</t>
  </si>
  <si>
    <t>Commercial and Institutional Building Construction</t>
  </si>
  <si>
    <t>Industrial Building Construction</t>
  </si>
  <si>
    <t>Land Subdivision</t>
  </si>
  <si>
    <t>Lessors of Residential Buildings and Dwellings</t>
  </si>
  <si>
    <t>New Housing For-Sale Builders</t>
  </si>
  <si>
    <t>Poured Concrete Foundation and Structure Contractors</t>
  </si>
  <si>
    <t>Structural Steel and Precast Concrete Contractors</t>
  </si>
  <si>
    <t>Framing Contractors</t>
  </si>
  <si>
    <t>Masonry Contractors</t>
  </si>
  <si>
    <t>Glass and Glazing Contractors</t>
  </si>
  <si>
    <t>Roofing Contractors</t>
  </si>
  <si>
    <t>Siding Contractors</t>
  </si>
  <si>
    <t>Other Foundation,Structure,and Building Exterior Contractors</t>
  </si>
  <si>
    <t>Plumbing,Heating,and Air-Conditioning Contractors</t>
  </si>
  <si>
    <t>Other Building Equipment Contractors</t>
  </si>
  <si>
    <t>Drywall and Insulation Contractors</t>
  </si>
  <si>
    <t>Establishments primarily engaged in manufacturing abrasive grinding wheels of natural or synthetic materials, abrasive-coated products, and other abrasive products.</t>
  </si>
  <si>
    <t>Establishments primarily engaged in providing services, such as auditing of accounting records, designing accounting systems, preparing financial statements, developing budgets, preparing tax returns, processing payrolls, bookkeeping, and billing.</t>
  </si>
  <si>
    <t>Establishments primarily engaged in manufacturing adhesives, glues, and caulking compounds.</t>
  </si>
  <si>
    <t>This industry group comprises (1) Advertising Agencies, (2) Public Relations Agencies, (3) Media Buying Agencies, (4) Media Representatives, (5) Display Advertising, (6) Direct Mail Advertising, (7) Advertising Material Distribution Services, and (8) Other Services Related to Advertising.</t>
  </si>
  <si>
    <t>Industries in the Support Activities for Agriculture and Forestry subsector provide support services that are an essential part of agricultural and forestry production. These support activities may be performed by the agriculture or forestry producing establishment or conducted independently as an alternative source of inputs required for the production process for a given crop, animal, or forestry industry.Establishments that primarily perform these activities independent of the agriculture or forestry producing establishment are in this subsector.</t>
  </si>
  <si>
    <t>Establishments primarily engaged in manufacturing general purpose air and gas compressors, such as reciprocating compressors, centrifugal compressors, vacuum pumps (except laboratory), and nonagricultural spraying and dusting compressors and spray gun units.</t>
  </si>
  <si>
    <t>Establishments primarily engaged inThis industry group comprises (1) manufacturing air-conditioning (except motor vehicle) and warm air furnace equipment and/or (2) manufacturing commercial and industrial refrigeration and freezer equipment.</t>
  </si>
  <si>
    <t>Establishments primarily engaged in manufacturing ventilating, heating, air-conditioning, and commercial and industrial refrigeration and freezer equipment.</t>
  </si>
  <si>
    <t>Establishments primarily engaged in one or more of the following:This industry group comprises (1) manufacturing or assembling complete aircraft; (2) developing and making aircraft prototypes; (3) aircraft conversion (i.e., major modifications to systems); and (4) complete aircraft overhaul and rebuilding (i.e., periodic restoration of aircraft to original design specifications).</t>
  </si>
  <si>
    <t>Establishments primarily engaged in one or more of the following:This industry group comprises (1) manufacturing aircraft engines and engine parts; (2) developing and making prototypes of aircraft engines and engine parts; (3) aircraft propulsion system conversion (i.e., major modifications to systems); and (4) aircraft propulsion systems overhaul and rebuilding (i.e., periodic restoration of aircraft propulsion system to original design specifications).</t>
  </si>
  <si>
    <t>Establishments primarily engaged in converting paper or paperboard into products (except containers, bags, coated and treated paper, stationery products, and sanitary paper products) or converting pulp into pulp products, such as egg cartons, food trays, and other food containers from molded pulp.</t>
  </si>
  <si>
    <t>Establishments providing customers with lodging and/or preparing meals, snacks, and beverages for immediate consumption. The sector includes both accommodation and food servicesEstablishments because the two activities are often combined at the same establishment.   Excluded from this sector are civic and social organizations; amusement and recreation parks; theaters; and other recreation or entertainment facilities providing food and beverage services.</t>
  </si>
  <si>
    <t>Establishments primarily engaged in manufacturing food (except animal food; grain and oilseed milling; sugar and confectionery products; preserved fruits, vegetables, and specialties; dairy products; meat products; seafood products; bakeries and tortillas; snack foods; coffee and tea; flavoring syrups and concentrates; seasonings; and dressings). Included in this industry areEstablishments primarily engaged in mixing purchased dried and/or dehydrated ingredients including those mixing purchased dried and/or dehydrated ingredients for soup mixes and bouillon.</t>
  </si>
  <si>
    <t xml:space="preserve">Establishments primarily engaged in one or more of the following:This industry group comprises (1) manufacturing forgings from purchased metals; (2) manufacturing metal custom roll forming products; (3) manufacturing metal stamped and spun products (except automotive, cans, coins); and (4) manufacturing powder metallurgy products.Establishments making metal forgings, metal stampings, and metal spun products and further manufacturing (e.g., machining, assembling) a specific manufactured product are classified in the industry of the finished product. Metal forging, metal stamping, and metal spun productsEstablishments may perform surface finishing operations, such as cleaning and deburring, on the products they manufacture. </t>
  </si>
  <si>
    <t>Establishments primarily engaged in providing ambulatory health care services (except offices of physicians, dentists, and other health practitioners; outpatient care centers; medical laboratories and diagnostic imaging centers; and home health care providers).</t>
  </si>
  <si>
    <t>Establishments primarily engaged in manufacturing fabricated metal products (except forgings and stampings, cutlery and handtools, architectural and structural metals, boilers, tanks, shipping containers, hardware, spring and wire products, machine shop products, turned products, screws, and nuts and bolts).</t>
  </si>
  <si>
    <t>Establishments primarily engaged in operating amusement parks and amusement arcades and parlors.</t>
  </si>
  <si>
    <t>Establishments primarily engaged in manufacturing instruments and instrumentation systems for laboratory analysis of the chemical or physical composition or concentration of samples of solid, fluid, gaseous, or composite material.</t>
  </si>
  <si>
    <t>Industries in the Animal Production and Aquaculture subsector raise or fatten animals for the sale of animals or animal products and/or raise aquatic plants and animals in controlled or selected aquatic environments for the sale of aquatic plants, animals, or their products. The subsector includesEstablishments, such as ranches, farms, and feedlots, primarily engaged in keeping, grazing, breeding, or feeding animals. These animals are kept for the products they produce or for eventual sale. The animals are generally raised in various environments, from total confinement or captivity to feeding on an open range pasture.  The industries in this subsector are grouped by important factors, such as suitable grazing or pasture land, specialized buildings, type of equipment, and the amount and types of labor required.Establishments are classified in the Animal Production and Aquaculture subsector when animal production (i.e., value of animals for market) accounts for one-half or more of the establishment</t>
  </si>
  <si>
    <t>This industry group comprises (1) Architectural Services, (2) Landscape Architectural Services, (3) Engineering Services, (4) Drafting Services, (5) Building Inspection Services, (6) Geophysical Surveying and Mapping Services, (7) Surveying and Mapping (except Geophysical) Services, and (8) Testing Laboratories.</t>
  </si>
  <si>
    <t>Establishments primarily engaged in manufacturing asphalt and tar paving mixtures and blocks from purchased asphaltic materials.</t>
  </si>
  <si>
    <t>Establishments primarily engaged inThis industry group comprises (1) saturating purchased mats and felts with asphalt or tar from purchased asphaltic materials and (2) manufacturing asphalt and tar and roofing cements and coatings from purchased asphaltic materials.</t>
  </si>
  <si>
    <t>Establishments primarily engaged in manufacturing electronic audio and video equipment for home entertainment, motor vehicles, and public address and musical instrument amplification. Examples of products made by theseEstablishments are video cassette recorders, televisions, stereo equipment, speaker systems, household-type video cameras, jukeboxes, and amplifiers for musical instruments and public address systems.</t>
  </si>
  <si>
    <t>Establishments primarily engaged in manufacturing automatic controls and regulators for applications, such as heating, air-conditioning, refrigeration and appliances.</t>
  </si>
  <si>
    <t>Establishments primarily engaged inThis industry group comprises (1) manufacturing complete automobiles (i.e., body and chassis or unibody) or (2) manufacturing automobile chassis only.</t>
  </si>
  <si>
    <t>Establishments primarily engaged in manufacturing ball and roller bearings of all materials.</t>
  </si>
  <si>
    <t>Establishments primarily engaged in manufacturing in-vitro (i.e., not taken internally) diagnostic substances, such as chemical, biological, or radioactive substances. The substances are used for diagnostic tests that are performed in test tubes, petri dishes, machines, and other diagnostic test-type devices.</t>
  </si>
  <si>
    <t>Establishments primarily engaged in building boats. Boats are defined as watercraft not built in shipyards and typically of the type suitable or intended for personal use. Included in this industry areEstablishments that manufacture heavy-duty inflatable rubber or inflatable plastic boats (RIBs).</t>
  </si>
  <si>
    <t>Establishments known as book publishers.Establishments in this industry carry out design, editing, and marketing activities necessary for producing and distributing books. TheseEstablishments may publish books in print, electronic, or audio form.</t>
  </si>
  <si>
    <t>Establishments primarily engaged in printing on apparel and textile products, paper, metal, glass, plastics, and other materials, except fabric (grey goods). The printing processes employed include, but are not limited to, lithographic, gravure, screen, flexographic, digital, and letterpress.Establishments in this industry do not manufacture the stock that they print, but may perform postprinting activities, such as folding, cutting, or laminating the materials they print, and mailing.</t>
  </si>
  <si>
    <t>Establishments primarily engaged in manufacturing fresh and frozen bread and other bakery products.</t>
  </si>
  <si>
    <t>Establishments primarily engaged in manufacturing breakfast cereal foods.</t>
  </si>
  <si>
    <t>Establishments primarily engaged in brewing beer, ale, malt liquors, and nonalcoholic beer.</t>
  </si>
  <si>
    <t>This industry group comprisesThis industry group comprises (1) Building Material and Supplies Dealers and (2) Lawn and Garden Equipment and Supplies Stores.</t>
  </si>
  <si>
    <t>This industry group comprises (1) Exterminating and Pest Control Services, (2) Janitorial Services, (3) Landscaping Services, (4) Carpet and Upholstery Cleaning Services, and (5) Other Services to Buildings and Dwellings.</t>
  </si>
  <si>
    <t>Establishments engaged in performing activities that are ongoing routine business support functions that businesses and organizations traditionally do for themselves.</t>
  </si>
  <si>
    <t>Establishments primarily engaged in operating studios and facilities for the broadcasting of programs on a subscription or fee basis. The broadcast programming is typically narrowcast in nature (e.g., limited format, such as news, sports, education, or youth-oriented). TheseEstablishments produce programming in their own facilities or acquire programming from external sources. The programming material is usually delivered to a third party, such as cable systems or direct-to-home satellite systems, for transmission to viewers.</t>
  </si>
  <si>
    <t>Establishments primarily engaged in manufacturing carbon, graphite, and metal-graphite brushes and brush stock; carbon or graphite electrodes for thermal and electrolytic uses; carbon and graphite fibers; and other carbon, graphite, and metal-graphite products.</t>
  </si>
  <si>
    <t>Establishments primarily engaged in manufacturing paperboard from pulp. TheseEstablishments may manufacture or purchase pulp. In addition, theEstablishments may also convert the paperboard they make.</t>
  </si>
  <si>
    <t>Establishments primarily engaged in converting paperboard into containers without manufacturing paperboard. TheseEstablishments use corrugating, cutting, and shaping machinery to form paperboard into containers. Products made by theseEstablishments include boxes, corrugated sheets, pads, pallets, paper dishes, and fiber drums, and reels.</t>
  </si>
  <si>
    <t>Establishments primarily engaged inThis industry group comprises (1) manufacturing woven, tufted, and other carpets and rugs, such as art squares, floor mattings, needlepunch carpeting, and door mats and mattings, from textile materials or from twisted paper, grasses, reeds, sisal, jute, or rags and/or (2) finishing carpets and rugs.</t>
  </si>
  <si>
    <t>Establishments primarily engaged in pouring molten iron and steel into molds of a desired shape to make castings.Establishments in this industry purchase iron and steel made in otherEstablishments.</t>
  </si>
  <si>
    <t>Establishments primarily engaged in raising cattle, milking dairy cattle, or feeding cattle for fattening.</t>
  </si>
  <si>
    <t>Establishments primarily engaged in manufacturing portland, natural, masonry, pozzolanic, and other hydraulic cements. Cement manufacturingEstablishments may calcine earths or mine, quarry, manufacture, or purchase lime.</t>
  </si>
  <si>
    <t>Establishments primarily engaged inThis industry group comprises (1) manufacturing cheese products (except cottage cheese) from raw milk and/or processed milk products and/or (2) manufacturing cheese substitutes from soybean and other nondairy substances.</t>
  </si>
  <si>
    <t>Establishments primarily engaged in manufacturing chemical products (except basic chemicals; resins, synthetic rubber, cellulosic and noncellulosic fibers and filaments; pesticides, fertilizers, and other agricultural chemicals; pharmaceuticals and medicines; paints, coatings, and adhesives; soaps and cleaning compounds; and toilet preparations).</t>
  </si>
  <si>
    <t>Establishments primarily engaged in providing day care of infants or children. These establishments generally care for preschool children, but may care for older children when they are not in school and may also offer pre-kindergarten educational programs.</t>
  </si>
  <si>
    <t>Establishments engaged in providing services not specifically provided for elsewhere in the classification system.Establishments in this sector are primarily engaged in activities, such as equipment and machinery repairing, promoting or administering religious activities, grantmaking, advocacy, and providing drycleaning and laundry services, personal care services, death care services, pet care services, photofinishing services, temporary parking services, and dating services.   Private households that engage in employing workers on or about the premises in activities primarily concerned with the operation of the household are included in this sector.   Excluded from this sector areEstablishments primarily engaged in retailing new equipment and also performing repairs and general maintenance on equipment. TheseEstablishments are classified in Sector 44-45, Retail Trade.</t>
  </si>
  <si>
    <t>This industry group comprisesThis industry group comprises (1) Pottery, Ceramics, and Plumbing Fixture Manufacturing, and (2) Clay Building Material and Refractories Manufacturing.</t>
  </si>
  <si>
    <t>Establishments with two distinct manufacturing processes:This industry group comprises (1) cut and sew (i.e., purchasing fabric and cutting and sewing to make a garment), and (2) the manufacture of garments inEstablishments that first knit fabric and then cut and sew the fabric into a garment. The Apparel Manufacturing subsector includes a diverse range ofEstablishments manufacturing full lines of ready-to-wear apparel and custom apparel: apparel contractors, performing cutting or sewing operations on materials owned by others; jobbers performing entrepreneurial functions involved in apparel manufacture; and tailors, manufacturing custom garments for individual clients are all included. Knitting, when done alone, is classified in the Textile Mills subsector, but when knitting is combined with the production of complete garments, the activity is classified in Apparel Manufacturing.</t>
  </si>
  <si>
    <t xml:space="preserve"> Clothing and Clothing Accessories Stores.</t>
  </si>
  <si>
    <t>Establishments primarily engaged in one or more of the following:This industry group comprises (1) mining bituminous coal, anthracite, and lignite by underground mining, auger mining, strip mining, culm bank mining, and other surface mining; (2) developing coal mine sites; and (3) beneficiating (i.e., preparing) coal (e.g., cleaning, washing, screening, and sizing coal).</t>
  </si>
  <si>
    <t>Establishments primarily engaged in one or more of the following:This industry group comprises (1) roasting coffee; (2) manufacturing coffee and tea concentrates (including instant and freeze-dried); (3) blending tea; (4) manufacturing herbal tea; and (5) manufacturing coffee extracts, flavorings, and syrups.</t>
  </si>
  <si>
    <t>Establishments that provide instruction and training in a wide variety of subjects. This instruction and training is provided by specializedEstablishments, such as schools, colleges, universities, and training centers. TheseEstablishments may be privately owned and operated for profit or not for profit, or they may be publicly owned and operated. They may also offer food and/or accommodation services to their students.   Educational services are usually delivered by teachers or instructors that explain, tell, demonstrate, supervise, and direct learning. Instruction is imparted in diverse settings, such as educational institutions, the workplace, or the home, and through diverse means, such as correspondence, television, the Internet, or other electronic and distance-learning methods. The training provided by theseEstablishments may include the use of simulators and simulation methods. It can be adapted to the particular needs of the students, for example sign language can replace verbal language for teaching students with hearing impairments. All industries in the sector share this commonality of process, namely, labor inputs of instructors with the requisite subject matter expertise and teaching ability.</t>
  </si>
  <si>
    <t>Establishments primarily responsible for the construction (including new work, additions, alterations, maintenance, and repairs) of commercial and institutional buildings and related structures, such as stadiums, grain elevators, and indoor swimming facilities.  This industry includes establishments responsible for the on-site assembly of modular or prefabricated commercial and institutional buildings.  Included in this industry are commercial and institutional building general contractors, commercial and institutional building for-sale builders, commercial and institutional building design-build firms, and commercial and institutional building project construction management firms.
Illustrative Examples:
Airport building construction
Office building construction
Arena construction
Parking garage construction
Barrack construction
Prison construction
Farm building construction
Radio and television broadcast studio construction
Fire station construction
Religious building (e.g., church, synagogue, mosque, temple) construction
Grain elevator or bin construction
Restaurant construction
Hospital construction
School building construction
Hotel construction
Shopping mall construction
Indoor swimming facility construction
Warehouse construction (e.g., commercial, industrial, manufacturing, private)
Cross-References. Establishments primarily engaged in--</t>
  </si>
  <si>
    <t>Establishments primarily engaged in renting or leasing commercial-type and industrial-type machinery and equipment. The types ofEstablishments included in this industry group are generally involved in providing capital or investment-type equipment that clients use in their business operations. TheseEstablishments typically cater to a business clientele and do not generally operate a retail-like or store-front facility.</t>
  </si>
  <si>
    <t>Establishments primarily engaged in the repair and maintenance of commercial and industrial machinery and equipment.Establishments in this industry either sharpen/install commercial and industrial machinery blades and saws or provide welding (e.g., automotive, general) repair services; or repair agricultural and other heavy and industrial machinery and equipment (e.g., forklifts and other materials handling equipment, machine tools, commercial refrigeration equipment, construction equipment, and mining machinery).</t>
  </si>
  <si>
    <t>Establishments insulating fiber-optic cable, and manufacturing insulated nonferrous wire and cable from nonferrous wire drawn in otherEstablishments.</t>
  </si>
  <si>
    <t>Establishments primarily engaged in manufacturing communications equipment (except telephone apparatus, and radio and television broadcast, and wireless communications equipment).</t>
  </si>
  <si>
    <t>Establishments providing health care and social assistance for individuals. The sector includes both health care and social assistance because it is sometimes difficult to distinguish between the boundaries of these two activities. The industries in this sector are arranged on a continuum starting with thoseEstablishments providing medical care exclusively, continuing with those providing health care and social assistance, and finally finishing with those providing only social assistance. The services provided byEstablishments in this sector are delivered by trained professionals. All industries in the sector share this commonality of process, namely, labor inputs of health practitioners or social workers with the requisite expertise. Many of the industries in the sector are defined based on the educational degree held by the practitioners included in the industry.   Excluded from this sector are aerobic classes in Subsector 713, Amusement, Gambling and Recreation Industries and nonmedical diet and weight reducing centers in Subsector 812, Personal and Laundry Services. Although these can be viewed as health services, these services are not typically delivered by health practitioners.</t>
  </si>
  <si>
    <t>This industry group comprises (1)Establishments that hold the securities of (or other equity interests in) companies and enterprises for the purpose of owning a controlling interest or influencing management decisions or (2)Establishments (except governmentEstablishments) that administer, oversee, and manageEstablishments of the company or enterprise and that normally undertake the strategic or organizational planning and decision making role of the company or enterprise.Establishments that administer, oversee, and manage may hold the securities of the company or enterprise.Establishments in this sector perform essential activities that are often undertaken, in-house, byEstablishments in many sectors of the economy. By consolidating the performance of these activities of the enterprise at one establishment, economies of scale are achieved. GovernmentEstablishments primarily engaged in administering, overseeing, and managing governmental programs are classified in Sector 92, Public Administration.Establishments primarily engaged in providing a range of day-to-day office administrative services, such as financial planning, billing and recordkeeping, personnel, and physical distribution and logistics are classified in Industry 56111, Office Administrative Services.</t>
  </si>
  <si>
    <t>Establishments primarily engaged in manufacturing industrial organic and inorganic gases in compressed, liquid, and solid forms.</t>
  </si>
  <si>
    <t>Establishments primarily engaged in manufacturing computer storage devices that allow the storage and retrieval of data from a phase change, magnetic, optical, or magnetic/optical media. Examples of products made by theseEstablishments are CD-ROM drives, floppy disk drives, hard disk drives, and tape storage and backup units.</t>
  </si>
  <si>
    <t>Establishments primarily engaged in planning and designing computer systems that integrate computer hardware, software, and communication technologies. The hardware and software components of the system may be provided by this establishment or company as part of integrated services or may be provided by third parties or vendors. TheseEstablishments often install the system and train and support users of the system.</t>
  </si>
  <si>
    <t>Establishments primarily engaged in manufacturing and/or assembling electronic computers, such as mainframes, personal computers, workstations, laptops, and computer servers; and computer peripheral equipment, such as storage devices, printers, monitors, input/output devices and terminals. Computers can be analog, digital, or hybrid. Digital computers, the most common type, are devices that do all of the following:This industry group comprises (1) store the processing program or programs and the data immediately necessary for the execution of the program; (2) can be freely programmed in accordance with the requirements of the user; (3) perform arithmetical computations specified by the user; and (4) execute, without human intervention, a processing program that requires the computer to modify its execution by logical decision during the processing run. Analog computers are capable of simulating mathematical models and comprise at least analog, control, and programming elements.Â </t>
  </si>
  <si>
    <t>Establishments primarily engaged in manufacturing and/or assembling electronic computers, such as mainframes, personal computers, workstations, laptops, and computer servers. Computers can be analog, digital, or hybrid. Digital computers, the most common type, are devices that do all of the following:This industry group comprises (1) store the processing program or programs and the data immediately necessary for the execution of the program; (2) can be freely programmed in accordance with the requirements of the user; (3) perform arithmetical computations specified by the user; and (4) execute, without human intervention, a processing program that requires the computer to modify its execution by logical decision during the processing run. Analog computers are capable of simulating mathematical models and contain at least analog, control, and programming elements. The manufacture of computers includes the assembly or integration of processors, coprocessors, memory, storage, and input/output devices into a user-programmable final product.</t>
  </si>
  <si>
    <t>Establishments primarily engaged in manufacturing concrete pipe, brick, and block.</t>
  </si>
  <si>
    <t>Establishments primarily engaged in manufacturing construction machinery, surface mining machinery, and logging equipment.</t>
  </si>
  <si>
    <t>Establishments primarily engaged in renting, leasing, or otherwise allowing the use of tangible or intangible assets, andEstablishments providing related services. The major portion of this sector comprisesEstablishments that rent, lease, or otherwise allow the use of their own assets by others. The assets may be tangible, as is the case of real estate and equipment, or intangible, as is the case with patents and trademarks.   This sector also includesEstablishments primarily engaged in managing real estate for others, selling, renting and/or buying real estate for others, and appraising real estate. These activities are closely related to this sectors main activity, and it was felt that from a production basis they would best be included here. In addition, a substantial proportion of property management is self-performed by lessors.   The main components of this sector are the real estate lessors industries (including equity real estate investment trusts (REITs)); equipment lessors industries (including motor vehicles, computers, and consumer goods); and lessors of nonfinancial intangible assets (except copyrighted works).   Excluded from this sector areEstablishments primarily engaged in renting or leasing equipment with operators.Establishments renting or leasing equipment with operators are classified in various subsectors of NAICS depending on the nature of the services provided (e.g., transportation, construction, agriculture). These activities are excluded from this sector because the client is paying for the expertise and knowledge of the equipment operator, in addition to the rental of the equipment. In many cases, such as the rental of heavy construction equipment, the operator is essential to operate the equipment.</t>
  </si>
  <si>
    <t>Establishments primarily engaged in one of the following:This industry group comprises (1) manufacturing fresh and frozen bread and other bakery products; (2) retailing bread and other bakery products not for immediate consumption made on the premises from flour, not from prepared dough; (3) manufacturing cookies, crackers, and dry pasta; (4) manufacturing prepared flour mixes or dough from flour ground elsewhere; or (5) manufacturing tortillas.</t>
  </si>
  <si>
    <t>Establishments primarily engaged inThis industry group comprises (1) smelting ores into nonferrous metals and/or (2) the primary refining of nonferrous metals (except aluminum) by electrolytic methods or other processes.</t>
  </si>
  <si>
    <t>Establishments primarily engaged in developing the mine site, mining, and/or beneficiating (i.e., preparing) ores valued chiefly for their copper, nickel, lead, or zinc content. Beneficiating includes the transformation of ores into concentrates.</t>
  </si>
  <si>
    <t>Establishments primarily engaged in wet milling corn and other vegetables (except to make ethyl alcohol). Examples of products made in theseEstablishments are corn sweeteners, such as glucose, dextrose, and fructose; corn oil; and starches (except laundry).</t>
  </si>
  <si>
    <t>Establishments primarily engaged in manufacturing household textile products, such as curtains, draperies, linens, bedspreads, sheets, tablecloths, towels, and shower curtains, from purchased materials.</t>
  </si>
  <si>
    <t>Establishments primarily engaged in writing, modifying, testing, and supporting software to meet the needs of a particular customer.</t>
  </si>
  <si>
    <t>Establishments primarily engaged in custom roll forming metal products by use of rotary motion of rolls with various contours to bend or shape the products.</t>
  </si>
  <si>
    <t>Establishments primarily engaged in cutting, shaping, and finishing granite, marble, limestone, slate, and other stone for building and miscellaneous uses. Stone product manufacturingEstablishments may mine, quarry, or purchase stone.</t>
  </si>
  <si>
    <t>Establishments primarily engaged in one or more of the following:This industry group comprises (1) manufacturing nonprecious and precious plated metal cutlery and flatware; (2) manufacturing nonpowered hand and edge tools; (3) manufacturing nonpowered handsaws; (4) manufacturing saw blades, all types (including those for sawing machines); and (5) manufacturing metal kitchen utensils (except cutting-type) and pots and pans (except those manufactured by casting (e.g., cast iron skillets) or stamped without further fabrication).</t>
  </si>
  <si>
    <t>Establishments primarily engaged in manufacturing metalworking machinery, such as metal cutting and metal forming machine tools; cutting tools; and accessories for metalworking machinery; special dies, tools, jigs, and fixtures; industrial molds; rolling mill machinery; assembly machinery; coil handling, conversion, or straightening equipment; and wire drawing and fabricating machines.Â </t>
  </si>
  <si>
    <t>Establishments primarily engaged in milking dairy cattle.</t>
  </si>
  <si>
    <t>Establishments primarily engaged as independent contractors in the installation and maintenance of broadcasting and telecommunications systems are classified in Sector 23, Construction.Establishments known as Internet cafes, primarily engaged in offering limited Internet connectivity in combination with other services such as facsimile services, training, rental of on-site personal computers, game rooms, or food services are classified in Subsector 561, Administrative and Support Services, or Subsector 722, Food Services and Drinking Places, depending on the primary activity.</t>
  </si>
  <si>
    <t>Establishments primarily engaged in manufacturing dental equipment and supplies used by dental laboratories and offices of dentists, such as dental chairs, dental instrument delivery systems, dental hand instruments, and dental impression material and dental cements.</t>
  </si>
  <si>
    <t>Establishments primarily engaged in manufacturing dentures, crowns, bridges, and orthodontic appliances customized for individual application.</t>
  </si>
  <si>
    <t>Establishments of health practitioners having the degree of D.M.D. (Doctor of Dental Medicine), D.D.S. (Doctor of Dental Surgery), or D.D.Sc. (Doctor of Dental Science) primarily engaged in the independent practice of general or specialized dentistry or dental surgery. These practitioners operate private or group practices in their own offices (e.g., centers, clinics) or in the facilities of others, such as hospitals or HMO medical centers. They can provide either comprehensive preventive, cosmetic, or emergency care, or specialize in a single field of dentistry.</t>
  </si>
  <si>
    <t>Establishments primarily engaged in developing the mine site, mining or quarrying dimension stone (i.e., rough blocks and/or slabs of stone), or mining and quarrying crushed and broken stone and/or (2) preparation plants primarily engaged in beneficiating stone (e.g., crushing, grinding, washing, screening, pulverizing, and sizing).</t>
  </si>
  <si>
    <t>Establishments primarily engaged in initially underwriting (i.e., assuming the risk and assigning premiums) annuities and life insurance policies, disability income insurance policies, and accidental death and dismemberment insurance policies.</t>
  </si>
  <si>
    <t>Establishments primarily engaged in publishing newspapers, magazines, other periodicals, books, directories and mailing lists, and other works, such as calendars, greeting cards, and maps. These works are characterized by the intellectual creativity required in their development and are usually protected by copyright. Publishers distribute or arrange for the distribution of these works.Â </t>
  </si>
  <si>
    <t>Establishments primarily engaged in one or more of the following:This industry group comprises (1) distilling potable liquors (except brandies); (2) distilling and blending liquors; and (3) blending and mixing liquors and other ingredients.</t>
  </si>
  <si>
    <t>Establishments primarily engaged in manufacturing dog and cat food from ingredients, such as grains, oilseed mill products, and meat products.</t>
  </si>
  <si>
    <t>Establishments primarily engaged in manufacturing dolls, toys, and games, such as complete dolls, doll parts, doll clothes, action figures, toys, games (including electronic), hobby kits, and children</t>
  </si>
  <si>
    <t>Establishments primarily engaged in operating water treatment plants and/or operating water supply systems. The water supply system may include pumping stations, aqueducts, and/or distribution mains. The water may be used for drinking, irrigation, or other uses.</t>
  </si>
  <si>
    <t>Establishments primarily engaged in the merchant wholesale distribution of biological and medical products; botanical drugs and herbs; and pharmaceutical products intended for internal and external consumption in such forms as ampoules, tablets, capsules, vials, ointments, powders, solutions, and suspensions.</t>
  </si>
  <si>
    <t>Establishments primarily engaged in manufacturing dry, condensed, and evaporated milk and dairy substitute products.</t>
  </si>
  <si>
    <t>This industry group comprises (1) Coin-Operated Laundries and Drycleaners, (2) Drycleaning and Laundry Services (except Coin-Operated), and (3) Linen and Uniform Supply.</t>
  </si>
  <si>
    <t>Establishments primarily engaged in manufacturing electromedical and electrotherapeutic apparatus, such as magnetic resonance imaging equipment, medical ultrasound equipment, pacemakers, hearing aids, electrocardiographs, and electromedical endoscopic equipment.</t>
  </si>
  <si>
    <t>Establishments primarily engaged in repairing electronic equipment, such as computers and communications equipment, and highly specialized precision instruments.Establishments in this industry group typically have staff skilled in repairing items having complex, electronic components.</t>
  </si>
  <si>
    <t>Establishments primarily engaged in manufacturing semiconductors and other components for electronic applications. Examples of products made by theseEstablishments are capacitors, resistors, microprocessors, bare and loaded printed circuit boards, electron tubes, electronic connectors, and computer modems.Â </t>
  </si>
  <si>
    <t>Establishments primarily engaged in furnishing academic courses and associated course work that comprise a basic preparatory education. A basic preparatory education ordinarily constitutes kindergarten through 12th grade. This industry includes school boards and school districts.</t>
  </si>
  <si>
    <t>This industry group comprises (1) Employment Placement Agencies and Executive Search Services, (2) Temporary Help Services, and (3) Professional Employer Organizations.</t>
  </si>
  <si>
    <t>This industry group comprises (1) Management Consulting Services, (2) Environmental Consulting Services, and (3) Other Scientific and Technical Consulting Services.</t>
  </si>
  <si>
    <t>Establishments primarily engaged inThis industry group comprises (1) manufacturing optical and magnetic media, such as blank audio tape, blank video tape, and blank diskettes and/or (2) mass duplicating (i.e., making copies) audio, video, software, and other data on magnetic, optical, and similar media.</t>
  </si>
  <si>
    <t>This industry group comprisesThis industry group comprises (1) Broadwoven Fabric Mills, (2) Narrow Fabric Mills and Schiffli Machine Embroidery, (3) Nonwoven Fabric Mills, and (4) Knit Fabric Mills.</t>
  </si>
  <si>
    <t>Establishments primarily engaged in fabricating, such as cutting, threading, and bending metal pipes and pipe fittings made from purchased metal pipe.</t>
  </si>
  <si>
    <t>Establishments primarily engaged in providing operating staff to perform a combination of support services within a client</t>
  </si>
  <si>
    <t>Establishments primarily engaged in manufacturing agricultural and farm machinery and equipment, and other turf and grounds care equipment, including planting, harvesting, and grass mowing equipment (except lawn and garden-type).</t>
  </si>
  <si>
    <t>This industry group comprisesThis industry group comprises (1) Fertilizer Manufacturing, and (2) Pesticide and Other Agricultural Chemical Manufacturing.</t>
  </si>
  <si>
    <t>Establishments primarily engaged in one or more of the following:This industry group comprises (1) spinning yarn; (2) manufacturing thread of any fiber; (3) texturizing, throwing, twisting, and winding purchased yarn or manmade fiber filaments; and (4) producing hemp yarn and further processing into rope or bags.</t>
  </si>
  <si>
    <t>This industry group comprisesThis industry group comprises (1) Textile and Fabric Finishing Mills, and (2) Fabric Coating Mills.</t>
  </si>
  <si>
    <t>Establishments primarily engaged in manufacturing flavoring syrup drink concentrates and related products for soda fountain use or for the manufacture of soft drinks.</t>
  </si>
  <si>
    <t>Establishments primarily engaged in one or more of the following:This industry group comprises (1) milling flour or meal from grains or vegetables; (2) preparing flour mixes or doughs from flour milled in the same establishment; (3) milling, cleaning, and polishing rice; and (4) manufacturing malt from barley, rye, or other grains.</t>
  </si>
  <si>
    <t>Establishments primarily engaged in manufacturing totalizing (i.e., registering) fluid meters and counting devices. Examples of products made by theseEstablishments are gas consumption meters, water consumption meters, parking meters, taxi meters, motor vehicle gauges, and fare collection equipment.</t>
  </si>
  <si>
    <t>Establishments that manufacture dairy products from raw milk, processed milk, and dairy substitutes.</t>
  </si>
  <si>
    <t>Industries in the Food and Beverage Stores subsector usually retail food and beverages merchandise from fixed point-of-sale locations.Establishments in this subsector have special equipment (e.g., freezers, refrigerated display cases, refrigerators) for displaying food and beverage goods. They have staff trained in the processing of food products to guarantee the proper storage and sanitary conditions required by regulatory authority.</t>
  </si>
  <si>
    <t>Establishments primarily engaged in growing fruit and/or tree nut crops. The crops included in this industry group are generally not grown from seeds and have a perennial life cycle.</t>
  </si>
  <si>
    <t>Establishments primarily engaged in growing oilseed crops. These crops have an annual life cycle and are typically grown in open fields.</t>
  </si>
  <si>
    <t>Establishments primarily engaged in growing root and tuber crops (except sugar beets and peanuts) or edible plants and/or producing root and tuber or edible plant seeds. The crops included in this group have an annual growth cycle and are grown in open fields. Climate and cultural practices limit producing areas but often permit the growing of a combination of crops in a year.</t>
  </si>
  <si>
    <t>Establishments primarily engaged in producing grain seeds. These crops have an annual life cycle and are typically grown in open fields.</t>
  </si>
  <si>
    <t>Establishments primarily engaged in manufacturing frozen fruit, frozen juices, frozen vegetables, and frozen specialty foods (except seafood), such as frozen dinners, entrees, and side dishes; frozen pizza; frozen whipped toppings; and frozen waffles, pancakes, and french toast.</t>
  </si>
  <si>
    <t>Establishments primarily engaged in manufacturing canned, pickled, and dried fruits, vegetables, and specialty foods.Establishments in this industry may package the dried or dehydrated ingredients they make with other purchased ingredients. Examples of products made by theseEstablishments are canned juices; canned baby foods; canned soups (except seafood); canned dry beans; canned tomato-based sauces, such as catsup, salsa, chili, spaghetti, barbeque, and tomato paste, pickles, relishes, jams and jellies, dried soup mixes and bullions, and sauerkraut.</t>
  </si>
  <si>
    <t>Establishments primarily engaged in providing food services to patrons who order and are served while seated (i.e., waiter/waitress service) and pay after eating. TheseEstablishments may provide this type of food service to patrons in combination with selling alcoholic beverages, providing carry out services, or presenting live nontheatrical entertainment.</t>
  </si>
  <si>
    <t>Industries in the Funds, Trusts, and Other Financial Vehicles subsector are comprised of legal entities (i.e., funds, plans, and/or programs) organized to pool securities or other assets on behalf of shareholders or beneficiaries of employee benefit or other trust funds. The portfolios are customized to achieve specific investment characteristics, such as diversification, risk, rate of return, and price volatility. These entities earn interest, dividends, and other investment income, but have little or no employment and no revenue from the sale of services.Establishments with employees devoted to the management of funds are classified in Industry Group 5239, Other Financial Investment Activities.Establishments primarily engaged in holding the securities of (or other equity interests in) other firms are classified in Sector 55, Management of Companies and Enterprises. Equity Real Estate Investment Trusts (REITs) that are primarily engaged in leasing buildings, dwellings, or other real estate property to others are classified in Subsector 531, Real Estate.</t>
  </si>
  <si>
    <t>This industry group comprises (1) Funeral Homes and Funeral Services, and (2) Cemeteries and Crematories.</t>
  </si>
  <si>
    <t>Establishments (except casino hotels) primarily engaged in operating gambling facilities, such as casinos, bingo halls, and video gaming terminals, or in the provision of gambling services, such as lotteries and off-track betting. Casino hotels are classified in Industry 72112, Casino Hotels.</t>
  </si>
  <si>
    <t>Establishments primarily engaged in miscellaneous manufacturing (except medical equipment and supplies, jewelry and flatware, sporting and athletic goods, dolls, toys, games, office supplies (except paper), and signs).</t>
  </si>
  <si>
    <t xml:space="preserve"> Gasoline Stations.</t>
  </si>
  <si>
    <t>Establishments primarily engaged in refining crude petroleum into refined petroleum. Petroleum refining involves one or more of the following activities:This industry group comprises (1) fractionation; (2) straight distillation of crude oil; and (3) cracking.</t>
  </si>
  <si>
    <t>Industries in the General Merchandise Stores subsector retail new general merchandise from fixed pointof- sale locations.Establishments in this subsector are unique in that they have the equipment and staff capable of retailing a large variety of goods from a single location. This includes a variety of display equipment and staff trained to provide information on many lines of products.</t>
  </si>
  <si>
    <t>Establishments primarily engaged in manufacturing glass and/or glass products.Establishments in this industry may manufacture glass and/or glass products by melting silica sand or cullet, or purchasing glass.</t>
  </si>
  <si>
    <t>This industry group comprises (1) Golf Courses and Country Clubs, (2) Skiing Facilities, (3) Marinas, (4) Fitness and Recreational Sports Centers, (5) Bowling Centers, and (6) All Other Amusement and Recreation Industries.</t>
  </si>
  <si>
    <t>Establishments primarily engaged in growing crops of any kind under cover and/or growing nursery stock and flowers. "Under cover" is generally defined as greenhouses, cold frames, cloth houses, and lath houses. The crops grown are removed at various stages of maturity and have annual and perennial life cycles. The nursery stock includes short rotation woody crops that have growth cycles of 10 years or less.</t>
  </si>
  <si>
    <t>Establishments primarily engaged inThis industry group comprises (1) the merchant wholesale distribution of a general line (wide range) of groceries, packaged frozen foods, dairy products, poultry and/or poultry products, confectioneries; salted or roasted nuts; popcorn; potato, corn, and similar chips; and/or fountain fruits and syrups, fish and seafood, meats and meat products and/or lard, fresh fruits and vegetables, and the bottling and merchant wholesale distribution of spring and mineral waters processed by others.</t>
  </si>
  <si>
    <t>Establishments primarily engaged in calcining, dead burning, or otherwise processing beyond beneficiation, clays, ceramic and refractory minerals, barite, and miscellaneous nonmetallic minerals.</t>
  </si>
  <si>
    <t>Establishments primarily engaged inThis industry group comprises (1) manufacturing complete guided missiles and space vehicles and/or (2) developing and making prototypes of guided missiles or space vehicles.</t>
  </si>
  <si>
    <t xml:space="preserve"> Health and Personal Care Stores.</t>
  </si>
  <si>
    <t>Establishments of independent health practitioners (except physicians and dentists).</t>
  </si>
  <si>
    <t>Establishments primarily engaged in manufacturing heating equipment (except electric and warm air furnaces), such as heating boilers, heating stoves, floor and wall furnaces, and wall and baseboard heating units.</t>
  </si>
  <si>
    <t>Establishments primarily engaged inThis industry group comprises (1) manufacturing heavy duty truck chassis and assembling complete heavy duty trucks, buses, heavy duty motor homes, and other special purpose heavy duty motor vehicles for highway use or (2) manufacturing heavy duty truck chassis only.</t>
  </si>
  <si>
    <t>Establishments primarily engaged in cutting, forming, and joining heavy gauge metal to manufacture tanks, vessels, and other containers.</t>
  </si>
  <si>
    <t>Construction of transportation structures, including bridges, roads, highways, and streets.</t>
  </si>
  <si>
    <t>Establishments manufacturing household-type furniture, such as living room, kitchen and bedroom furniture and institutional (i.e., public building) furniture, such as furniture for schools, theaters, and churches.</t>
  </si>
  <si>
    <t>Establishments primarily engaged in manufacturing upholstered householdtype furniture. The furniture may be made on a stock or custom basis.</t>
  </si>
  <si>
    <t>Establishments primarily engaged in manufacturing nonupholstered wood household-type furniture and freestanding cabinets (except television, radio, and sewing machine cabinets). The furniture may be made on a stock or custom basis and may be assembled or unassembled (i.e., knockdown).</t>
  </si>
  <si>
    <t>Establishments primarily engaged in providing skilled nursing services in the home, along with a range of the following: personal care services; homemaker and companion services; physical therapy; medical social services; medications; medical equipment and supplies; counseling; 24- hour home care; occupation and vocational therapy; dietary and nutritional services; speech therapy; audiology; and high-tech care, such as intravenous therapy.</t>
  </si>
  <si>
    <t>Industries in the Hospitals subsector provide medical, diagnostic, and treatment services that include physician, nursing, and other health services to inpatients and the specialized accommodation services required by inpatients. Hospitals may also provide outpatient services as a secondary activity.Establishments in the Hospitals subsector provide inpatient health services, many of which can only be provided using the specialized facilities and equipment that form a significant and integral part of the production process.</t>
  </si>
  <si>
    <t>Industries in the Accommodation subsector provide lodging or short-term accommodations for travelers, vacationers, and others. There is a wide range ofEstablishments in these industries. Some provide lodging only; while others provide meals, laundry services, and recreational facilities, as well as lodging. LodgingEstablishments are classified in this subsector even if the provision of complementary services generates more revenue. The types of complementary services provided vary from establishment to establishment. The subsector is organized into three industry groups:This industry group comprises (1) traveler accommodation, (2) recreational accommodation, and (3) rooming and boarding houses. The Traveler Accommodation industry group includesEstablishments that primarily provide traditional types of lodging services. This group includes hotels, motels, and bed and breakfast inns. In addition to lodging, theseEstablishments may provide a range of other services to their guests. The RV (Recreational Vehicle) Parks and Recreational Camps industry group includesEstablishments that operate lodging facilities primarily designed to accommodate outdoor enthusiasts. Included are travel trailer campsites, recreational vehicle parks, and outdoor adventure retreats. The Rooming and Boarding Houses industry group includesEstablishments providing temporary or longer-term accommodations, which for the period of occupancy, may serve as a principal residence. Board (i.e., meals) may be provided but is not essential.Establishments that manage short-stay accommodationEstablishments (e.g., hotels and motels) on a contractual basis are classified in this subsector if they both manage the operation and provide the operating staff. SuchEstablishments are classified based on the type of facility managed and operated.</t>
  </si>
  <si>
    <t>Establishments primarily engaged in the merchant wholesale distribution of electrical construction materials; wiring supplies; electric light fixtures; light bulbs; and/or electrical power equipment for the generation, transmission, distribution, or control of electric energy.</t>
  </si>
  <si>
    <t>This industry group comprises (1) Home and Garden Equipment and Appliance Repair and Maintenance, (2) Reupholstery and Furniture Repair, (3) Footwear and Leather Goods Repair, and (4) Other Personal and Household Goods Repair and Maintenance.</t>
  </si>
  <si>
    <t>Establishments primarily engaged inThis industry group comprises (1) manufacturing fluid power (i.e., hydraulic and pneumatic) cylinders and actuators, and (2) manufacturing fluid power (i.e., hydraulic and pneumatic) pumps and motors.</t>
  </si>
  <si>
    <t>Establishments primarily engaged in manufacturing ice cream, frozen yogurts, frozen ices, sherbets, frozen tofu, and other frozen desserts (except bakery products).</t>
  </si>
  <si>
    <t>Independent (i.e., freelance) individuals primarily engaged in performing in artistic productions, in creating artistic and cultural works or productions, or in providing technical expertise necessary for these productions. This industry also includes athletes and other celebrities exclusively engaged in endorsing products and making speeches or public appearances for which they receive a fee.</t>
  </si>
  <si>
    <t>This industry group comprises (1) Child and Youth Services, (2) Services for the Elderly and Persons with Disabilities, and (3) Other Individual and Family Services.</t>
  </si>
  <si>
    <t>Establishments primarily responsible for the construction (including new work, additions, alterations, maintenance, and repairs) of industrial buildings (except warehouses).  The construction of selected additional structures, whose production processes are similar to those for industrial buildings (e.g., incinerators, cement plants, blast furnaces, and similar nonbuilding structures), is included in this industry.  Included in this industry are industrial building general contractors, industrial building for-sale builders, industrial building design-build firms, and industrial building construction management firms.
Illustrative Examples:
Assembly plant construction
Furnace, industrial plant, construction
Cannery construction
Mine loading and discharging station construction
Cement plant construction
Paper or pulp mill construction
Chemical plant (except petrochemical) construction
Pharmaceutical manufacturing plant construction
Factory construction
Steel mill construction
Food processing plant construction
Waste disposal plant (except sewage treatment) construction
Cross-References. Establishments primarily engaged in--</t>
  </si>
  <si>
    <t>Establishments primarily engaged in manufacturing industrial molds for casting metals or forming other materials, such as plastics, glass, or rubber.</t>
  </si>
  <si>
    <t>Establishments primarily engaged in manufacturing industrial process ovens, induction and dielectric heating equipment, and kilns (except cement, chemical, wood). Included in this industry areEstablishments manufacturing laboratory furnaces and ovens.</t>
  </si>
  <si>
    <t>Establishments primarily engaged in manufacturing instruments and related devices for measuring, displaying, indicating, recording, transmitting, and controlling industrial process variables. These instruments measure, display or control (monitor, analyze, and so forth) industrial process variables, such as temperature, humidity, pressure, vacuum, combustion, flow, level, viscosity, density, acidity, concentration, and rotation.</t>
  </si>
  <si>
    <t>Establishments primarily engaged in manufacturing printing and inkjet inks and inkjet cartridges.</t>
  </si>
  <si>
    <t>Establishments primarily engaged in manufacturing institutional-type furniture (e.g., library, school, theater, and church furniture). Included in this industry areEstablishments primarily engaged in manufacturing general purpose hospital, laboratory, and dental furniture (e.g., tables, stools, and benches). The furniture may be made on a stock or custom basis and may be assembled or unassembled (i.e., knockdown).</t>
  </si>
  <si>
    <t>Establishments primarily engaged inThis industry group comprises (1) acting as agents (i.e., brokers) in selling annuities and insurance policies or (2) providing other employee benefits and insurance related services, such as claims adjustment and third party administration.</t>
  </si>
  <si>
    <t>Establishments primarily engaged in underwriting (assuming the risk, assigning premiums, and so forth) annuities and insurance policies and investing premiums to build up a portfolio of financial assets to be used against future claims. Direct insurance carriers areEstablishments that are primarily engaged in initially underwriting and assuming the risk of annuities and insurance policies. Reinsurance carriers areEstablishments that are primarily engaged in assuming all or part of the risk associated with an existing insurance policy (or set of policies) originally underwritten by another insurance carrierIndustries are defined in terms of the type of risk being insured against, such as loss of employment because of age or disability, and/or property damage. Contributions and premiums are set on the basis of actuarial calculations of probable payouts based on risk factors from experience tables and expected investment returns on reserves.</t>
  </si>
  <si>
    <t>Establishments primarily engaged in 1) publishing and/or broadcasting content on the Internet exclusively or 2) operating Web sites that use a search engine to generate and maintain extensive databases of Internet addresses and content in an easily searchable format (and known as Web search portals). The publishing and broadcastingEstablishments in this industry do not provide traditional (non-Internet) versions of the content that they publish or broadcast. They provide textual, audio, and/or video content of general or specific interest on the Internet exclusively.Establishments known as Web search portals often provide additional Internet services, such as e-mail, connections to other web sites, auctions, news, and other limited content, and serve as a home base for Internet users.</t>
  </si>
  <si>
    <t>This industry group comprises (1) Investigation, Guard, and Armored Car Services, and (2) Security Systems Services.</t>
  </si>
  <si>
    <t>Establishments primarily engaged in one of the following:This industry group comprises (1) acting as principals in buying or selling financial contracts (except investment bankers, securities dealers, and commodity contracts dealers); (2) acting as agents (i.e., brokers) (except securities brokerages and commodity contracts brokerages) in buying or selling financial contracts; or (3) providing other investment services (except securities and commodity exchanges), such as portfolio management; investment advice; and trust, fiduciary, and custody services.</t>
  </si>
  <si>
    <t>Establishments primarily engaged in developing mine sites or mining metallic minerals, andEstablishments primarily engaged in ore dressing and beneficiating (i.e., preparing) operations, such as crushing, grinding, washing, drying, sintering, concentrating, calcining, and leaching. Beneficiating may be performed at mills operated in conjunction with the mines served or at mills, such as custom mills, operated separately.</t>
  </si>
  <si>
    <t>Establishments primarily engaged in manufacturing irradiation apparatus and tubes for applications, such as medical diagnostic, medical therapeutic, industrial, research and scientific evaluation. Irradiation can take the form of beta-rays, gamma-rays, X-rays, or other ionizing radiation.</t>
  </si>
  <si>
    <t>Establishments primarily engaged in one or more of the following:This industry group comprises (1) manufacturing, engraving, chasing, or etching jewelry; (2) manufacturing metal personal goods (i.e., small articles carried on or about the person, such as compacts or cigarette cases); (3) manufacturing, engraving, chasing, or etching precious metal solid, precious metal clad, or pewter cutlery and flatware; (4) manufacturing, engraving, chasing, or etching personal metal goods (i.e., small articles carried on or about the person, such as compacts or cigarette cases); (5) stamping coins; (6) manufacturing unassembled jewelry parts and stock shop products, such as sheet, wire, and tubing; (7) cutting, slabbing, tumbling, carving, engraving, polishing, or faceting precious or semiprecious stones and gems; (8) recutting, repolishing, and setting gem stones; and (9) drilling, sawing, and peeling cultured and costume pearls.</t>
  </si>
  <si>
    <t>Establishments primarily engaged in laminating plastics profile shapes such as plate, sheet (except packaging), and rod. The lamination process generally involves bonding or impregnating profiles with plastics resins and compressing them under heat.</t>
  </si>
  <si>
    <t>Establishments primarily engaged in servicing land and subdividing real property into lots, for subsequent sale to builders.  Servicing of land may include excavation work for the installation of roads and utility lines.  The extent of work may vary from project to project.  Land subdivision precedes building activity and the subsequent building is often residential, but may also be commercial tracts and industrial parks.  These establishments may do all the work themselves or subcontract the work to others.  Establishments that perform only the legal subdivision of land are not included in this industry.
Cross-References. Establishments primarily engaged in--</t>
  </si>
  <si>
    <t>Establishments primarily engaged in manufacturing powered lawnmowers, lawn and garden tractors, and other home lawn and garden equipment, such as tillers, shredders, yard vacuums, and leaf blowers.</t>
  </si>
  <si>
    <t>Establishments in the Leather and Allied Product Manufacturing subsector transform hides into leather by tanning or curing and fabricating the leather into products for final consumption. It also includes the manufacture of similar products from other materials, including products (except apparel) made from "leather substitutes," such as rubber, plastics, or textiles. Rubber footwear, textile luggage, and plastics purses or wallets are examples of "leather substitute" products included in this group. The products made from leather substitutes are included in this subsector because they are made in similar ways leather products are made (e.g., luggage). They are made in the sameEstablishments, so it is not practical to separate them. The inclusion of leather making in this subsector is partly because leather tanning is a relatively small industry that has few close neighbors as a production process, partly because leather is an input to some of the other products classified in this subsector and partly for historical reasons.</t>
  </si>
  <si>
    <t>This industry group comprises (1) Offices of Lawyers, (2) Offices of Notaries, and (3) Other Legal Services including:  (a) Title Abstract and Settlement Offices, and (b) All Other Legal Services.</t>
  </si>
  <si>
    <t>Industries in the Lessors of Nonfinancial Intangible Assets (except Copyrighted Works) subsector includeEstablishments that are primarily engaged in assigning rights to assets, such as patents, trademarks, brand names, and/or franchise agreements for which a royalty payment or licensing fee is paid to the asset holder.Establishments in this subsector own the patents, trademarks, and/or franchise agreements that they allow others to use or reproduce for a fee and may or may not have created those assets.Establishments that allow franchisees the use of the franchise name, contingent on the franchisee buying products or services from the franchisor, are classified elsewhere. Excluded from this subsector areEstablishments primarily engaged in leasing real property andEstablishments primarily engaged in leasing tangible assets, such as automobiles, computers, consumer goods, and industrial machinery and equipment. TheseEstablishments are classified in Subsector 531, Real Estate and Subsector 532, Rental and Leasing Services, respectively.</t>
  </si>
  <si>
    <t>Establishments primarily engaged in acting as lessors of buildings used as residences or dwellings, such as single-family homes, apartment buildings, and town homes.  Included in this industry are owner-lessors and establishments renting real estate and then acting as lessors in subleasing it to others.  The establishments in this industry may manage the property themselves or have another establishment manage it for them.
Cross-References.</t>
  </si>
  <si>
    <t>Establishments primarily engaged in one or more of the following:This industry group comprises (1) stamping metal crowns and closures, such as bottle caps and home canning lids and rings; and/or (2) manufacturing other unfinished metal stampings and spinning unfinished metal products (except automotive and coins).Establishments making metal stampings and metal spun products and further manufacturing (e.g. machining, assembling) a specific product are classified in the industry of the finished product. Metal stamping and metal spun productsEstablishments may perform surface finishing operations, such as cleaning and deburring, on the products they manufacture.</t>
  </si>
  <si>
    <t>Establishments primarily engaged in manufacturing electric light bulbs and tubes, and parts and components (except glass blanks for electric light bulbs).</t>
  </si>
  <si>
    <t>Establishments primarily engaged in manufacturing electric lighting fixtures (except vehicular), nonelectric lighting equipment, lamp shades (except glass and plastics), and lighting fixture components (except current-carrying wiring devices).</t>
  </si>
  <si>
    <t>Establishments primarily engaged in forming light gauge metal containers.</t>
  </si>
  <si>
    <t>This industry group comprises This industry group comprises (1) Lime Manufacturing, and (2) Gypsum Product Manufacturing.</t>
  </si>
  <si>
    <t>Establishments primarily engaged in providing food services (except snack and nonalcoholic beverage bars) where patrons generally order or select items and pay before eating. Food and drink may be consumed on premises, taken out, or delivered to the customer</t>
  </si>
  <si>
    <t>Establishments whose primary production process begins with logs or bolts that are transformed into boards, dimension lumber, beams, timbers, poles, ties, shingles, shakes, siding, and wood chips.Establishments that cut and treat round wood and/or treat wood products made in otherEstablishments to prevent rotting by impregnation with creosote or other chemical compounds are also included in this industry group.</t>
  </si>
  <si>
    <t>Establishments known as machine shops primarily engaged in machining metal and plastic parts and parts of other composite materials on a job or order basis. Generally machine shop jobs are low volume using machine tools, such as lathes (including computer numerically controlled); automatic screw machines; and machines for boring, grinding, and milling.</t>
  </si>
  <si>
    <t>This industry group comprises This industry group comprises (1) Sawmill and Woodworking Machinery Manufacturing, (2) Plastics and Rubber Industry Machinery Manufacturing, and (3) Other Industrial Machinery Manufacturing including:  (a) Paper Industry Machinery Manufacturing, (b) Textile Machinery Manufacturing, (c) Printing Machinery and Equipment Manufacturing, (d) Food Product Machinery Manufacturing, (e) Semiconductor Machinery Manufacturing, and (f) All Other Industrial Machinery Manufacturing.</t>
  </si>
  <si>
    <t>Establishments primarily engaged in the merchant wholesale distribution of construction, mining, farm, garden, industrial, service establishment, and transportation machinery, equipment and supplies.</t>
  </si>
  <si>
    <t>Establishments known either as magazine publishers or periodical publishers. TheseEstablishments carry out the operations necessary for producing and distributing magazines and other periodicals, such as gathering, writing, and editing articles, and selling and preparing advertisements. TheseEstablishments may publish magazines and other periodicals in print or electronic form.</t>
  </si>
  <si>
    <t>Establishments primarily engaged in manufacturing household-type cooking appliances, household-type laundry equipment, household-type refrigerators, upright and chest freezers, and other electrical and nonelectrical major household-type appliances, such as dishwashers, water heaters, and garbage disposal units.
Cross-References. Establishments primarily engaged in--</t>
  </si>
  <si>
    <t>Establishments primarily engaged in providing advice and assistance to businesses and other organizations on management issues, such as strategic and organizational planning; financial planning and budgeting; marketing objectives and policies; human resource policies, practices, and planning; production scheduling; and control planning.</t>
  </si>
  <si>
    <t>Establishments engaged in professional, scientific, and technical services (except legal services; accounting, tax preparation, bookkeeping, and related services; architectural, engineering, and related services; specialized design services; computer systems design and related services; management, scientific, and technical consulting services; scientific research and development services; and advertising, public relations and related services).</t>
  </si>
  <si>
    <t>Establishments primarily engaged in manufacturing material handling equipment, such as elevators and moving stairs; conveyors and conveying equipment; overhead traveling cranes, hoists, and monorail systems; and industrial trucks, tractors, trailers, and stacker machinery.</t>
  </si>
  <si>
    <t>Establishments manufacturing furniture related products, such as mattresses, blinds, and shades.</t>
  </si>
  <si>
    <t>Establishments primarily engaged in (1) manufacturing measuring and dispensing pumps, such as gasoline pumps and lubricating oil measuring and dispensing pumps and/or (2) manufacturing general purpose pumps and pumping equipment (except fluid power pumps and motors), such as reciprocating pumps, turbine pumps, centrifugal pumps, rotary pumps, diaphragm pumps, domestic water system pumps, oil well and oil field pumps, and sump pumps.
Cross-References. Establishments primarily engaged in--</t>
  </si>
  <si>
    <t>Establishments primarily engaged in manufacturing mechanical power transmission equipment (except motor vehicle and aircraft), such as plain bearings, clutches (except motor vehicle and electromagnetic industrial control), couplings, joints, and drive chains.</t>
  </si>
  <si>
    <t>Establishments known as medical and diagnostic laboratories primarily engaged in providing analytic or diagnostic services, including body fluid analysis and diagnostic imaging, generally to the medical profession or to the patient on referral from a health practitioner.</t>
  </si>
  <si>
    <t>Establishments primarily engaged inThis industry group comprises (1) manufacturing uncompounded medicinal chemicals and their derivatives (i.e., generally for use by pharmaceutical preparation manufacturers) and/or (2) grading, grinding, and milling uncompounded botanicals.</t>
  </si>
  <si>
    <t>Establishments primarily engaged in one or more of the following:This industry group comprises (1) heat treating metals and metal products; (2) enameling, lacquering, and varnishing metals and metal products; (3) hot dip galvanizing metals and metal products; (4) engraving, chasing, or etching metals and metal products (except jewelry; personal goods carried on or about the person, such as compacts and cigarette cases; precious metal products (except precious plated flatware and other plated ware); and printing plates); (5) powder coating metals and metal products; (6) electroplating, plating, anodizing, coloring, and finishing metals and metal products; and (7) providing other metal surfacing services for the trade.Establishments in this industry coat, engrave, and heat treat metals and metal formed products fabricated elsewhere.</t>
  </si>
  <si>
    <t>Establishments primarily engaged inThis industry group comprises (1) manufacturing metal cutting machine tools (except handtools) and/or (2) manufacturing metal forming machine tools (except handtools), such as punching, sheering, bending, forming, pressing, forging and die-casting machines.</t>
  </si>
  <si>
    <t>Establishments primarily engaged in manufacturing metal hardware, such as metal hinges, metal handles, keys, and locks (except coin-operated, time locks).</t>
  </si>
  <si>
    <t>Establishments primarily engaged in manufacturing metal and plastics plumbing fixture fittings and trim, such as faucets, flush valves, and shower heads.</t>
  </si>
  <si>
    <t>Establishments primarily engaged in manufacturing one or more of the following:This industry group comprises (1) prefabricated metal buildings, panels and sections; (2) structural metal products; and (3) metal plate work products.</t>
  </si>
  <si>
    <t>Establishments primarily engaged in manufacturing one or more of the following:This industry group comprises (1) metal framed windows (i.e., typically using purchased glass) and metal doors; (2) sheet metal work; and (3) ornamental and architectural metal products.</t>
  </si>
  <si>
    <t>Establishments primarily engaged in manufacturing complete military armored vehicles, combat tanks, specialized components for combat tanks, and self-propelled weapons.</t>
  </si>
  <si>
    <t>Establishments primarily engaged in manufacturing mineral wool and mineral wool (i.e., fiberglass) insulation products made of such siliceous materials as rock, slag, and glass or combinations thereof.</t>
  </si>
  <si>
    <t>Establishments primarily engaged in manufacturing oil and gas field and underground mining machinery and equipment.</t>
  </si>
  <si>
    <t>Establishments primarily engaged in manufacturing fabricated metal products (except forgings and stampings, cutlery and handtools, architectural and structural metals, boilers, tanks, shipping containers, hardware, spring and wire products, machine shop products, turned products, screws, nuts and bolts, metal valves, ball and roller bearings, ammunition, small arms and other ordnances and accessories, and fabricated pipes and pipe fittings).</t>
  </si>
  <si>
    <t>The Finance and Insurance sector comprisesEstablishments primarily engaged in financial transactions (transactions involving the creation, liquidation, or change in ownership of financial assets) and/or in facilitating financial transactions. Three principal types of activities are identified:   1. Raising funds by taking deposits and/or issuing securities and, in the process, incurring liabilities.Establishments engaged in this activity use raised funds to acquire financial assets by making loans and/or purchasing securities. Putting themselves at risk, they channel funds from lenders to borrowers and transform or repackage the funds with respect to maturity, scale, and risk. This activity is known as financial intermediation.   2. Pooling of risk by underwriting insurance and annuities.Establishments engaged in this activity collect fees, insurance premiums, or annuity considerations; build up reserves; invest those reserves; and make contractual payments. Fees are based on the expected incidence of the insured risk and the expected return on investment.   3. Providing specialized services facilitating or supporting financial intermediation, insurance, and employee benefit programs.   In addition, monetary authorities charged with monetary control are included in this sector.   The subsectors, industry groups, and industries within the NAICS Finance and Insurance sector are defined on the basis of their unique production processes. As with all industries, the production processes are distinguished by their use of specialized human resources and specialized physical capital. In addition, the way in which theseEstablishments acquire and allocate financial capital, their source of funds, and the use of those funds provides a third basis for distinguishing characteristics of the production process. For instance, the production process in raising funds through deposit-taking is different from the process of raising funds in bond or money markets. The process of making loans to individuals also requires different production processes than does the creation of investment pools or the underwriting of securities.   Most of the Finance and Insurance subsectors contain one or more industry groups ofThis industry group comprises (1) intermediaries with similar patterns of raising and using funds and (2)Establishments engaged in activities that facilitate, or are otherwise related to, that type of financial or insurance intermediationIndustries within this sector are defined in terms of activities for which a production process can be specified, and many of these activities are not exclusive to a particular type of financial institution. To deal with the varied activities taking place within existing financial institutions, the approach is to split these institutions into components performing specialized services. This requires defining the units engaged in providing those services and developing procedures that allow for their delineation. These units are the equivalents for finance and insurance of theEstablishments defined for other industries.   The output of many financial services, as well as the inputs and the processes by which they are combined, cannot be observed at a single location and can only be defined at a higher level of the organizational structure of the enterprise. Additionally, a number of independent activities that represent separate and distinct production processes may take place at a single location belonging to a multilocation financial firm. Activities are more likely to be homogeneous with respect to production characteristics than are locations, at least in financial services. The classification defines activities broadly enough that it can be used both by those classifying by location and by those employing a more top-down approach to the delineation of the establishment.  Establishments engaged in activities that facilitate, or are otherwise related to, the various types of intermediation have been included in individual subsectors, rather than in a separate subsector dedicated to services alone because these services are performed by intermediaries, as well as by specialistEstablishments, the extent to which the activity of the intermediaries can be separately identified is not clear.   The Finance and Insurance sector has been defined to encompassEstablishments primarily engaged in financial transactions; that is, transactions involving the creation, liquidation, change in ownership of financial assets; or in facilitating financial transactions. Financial industries are extensive users of electronic means for facilitating the verification of financial balances, authorizing transactions, transferring funds to and from transactors accounts, notifying banks (or credit card issuers) of the individual transactions, and providing daily summaries. Since these transaction processing activities are integral to the production of finance and insurance services,Establishments that principally provide a financial transaction processing service are classified to this sector, rather than to the data processing industry in the Information sector.   Legal entities that hold portfolios of assets on behalf of others are significant and data on them are required for a variety of purposes. Thus for NAICS, these funds, trusts, and other financial vehicles are the fifth subsector of the Finance and Insurance sector. These entities earn interest, dividends, and other property income, but have little or no employment and no revenue from the sale of services. SeparateEstablishments and employees devoted to the management of funds are classified in Industry Group 5239, Other Financial Investment Activities.</t>
  </si>
  <si>
    <t>Establishments primarily engaged inThis industry group comprises (1) manufacturing motor homes on purchased chassis and/or (2) manufacturing conversion vans on an assembly line basis. Motor homes are units where the motor and the living quarters are integrated in the same unit.</t>
  </si>
  <si>
    <t>Establishments primarily engaged in the merchant wholesale distribution of automobiles and other motor vehicles, motor vehicle supplies, tires, and new and used parts.</t>
  </si>
  <si>
    <t>This industry group comprises This industry group comprises (1) Motor Vehicle Gasoline Engine and Engine Parts Manufacturing, (2) Motor Vehicle Electrical and Electronic Equipment Manufacturing, (3) Motor Vehicle Steering and Suspension Components (except Spring) Manufacturing, (4) Motor Vehicle Brake System Manufacturing, (5) Motor Vehicle Transmission and Power Train Parts Manufacturing, (6) Motor Vehicle Seating and Interior Trim Manufacturing, (7) Motor Vehicle Metal Stamping, and (8) Other Motor Vehicle Parts Manufacturing including:  (a) Motor Vehicle Air-Conditioning Manufacturing, and (b) All Other Motor Vehicle Parts Manufacturing</t>
  </si>
  <si>
    <t>Establishments primarily engaged in manufacturing motorcycles, bicycles, tricycles and similar equipment, and parts.</t>
  </si>
  <si>
    <t>Establishments primarily engaged in manufacturing electric motors (except internal combustion engine starting motors), power generators (except battery charging alternators for internal combustion engines), and motor generator sets (except turbine generator set units). This industry includesEstablishments rewinding armatures on a factory basis.</t>
  </si>
  <si>
    <t>Publishing establishments may create the works in-house, contract for, purchase, or compile works that were originally created by others. These works may be published in one or more formats, such as print and/or electronic form, including proprietary electronic networks.Establishments in this industry may print, reproduce, or offer direct access to the works themselves or may arrange with others to carry out such functions.Â </t>
  </si>
  <si>
    <t>Construction of multifamily residential structures</t>
  </si>
  <si>
    <t>Industries in the Museums, Historical Sites, and Similar Institutions subsector engage in the preservation and exhibition of objects, sites, and natural wonders of historical, cultural, and/or educational value.</t>
  </si>
  <si>
    <t>Establishments primarily engaged in operating gas distribution systems (e.g., mains, meters); (2)Establishments known as gas marketers that buy gas from the well and sell it to a distribution system; (3)Establishments known as gas brokers or agents that arrange the sale of gas over gas distribution systems operated by others; and (4)Establishments primarily engaged in transmitting and distributing gas to final consumers.</t>
  </si>
  <si>
    <t>Establishments primarily engaged in manufacturing search, detection, navigation, guidance, aeronautical, and nautical systems and instruments. Examples of products made by theseEstablishments are aircraft instruments (except engine), flight recorders, navigational instruments and systems, radar systems and equipment, and sonar systems and equipment.</t>
  </si>
  <si>
    <t>Establishments primarily engaged in building new homes on land that is owned or controlled by the builder rather than the homebuyer or investor.  The land is included with the sale of the home.  Establishments in this industry build single-family and/or multifamily homes.  These establishments are often referred to as merchant builders, but are also known as production or for-sale builders.
Cross-References. Establishments primarily engaged in--</t>
  </si>
  <si>
    <t>Industries in the Other Information Services subsector groupEstablishments supplying information, storing and providing access to information, searching and retrieving information, operating Web sites that use search engines to allow for searching information on the Internet, or publishing and/or broadcasting content exclusively on the Internet. The main components of the subsector are news syndicates, libraries, archives, exclusive Internet publishing and/or broadcasting, and Web Search Portals.</t>
  </si>
  <si>
    <t>Establishments known as newspaper publishers.Establishments in this industry carry out operations necessary for producing and distributing newspapers, including gathering news; writing news columns, feature stories, and editorials; and selling and preparing advertisements. TheseEstablishments may publish newspapers in print or electronic form.</t>
  </si>
  <si>
    <t>Industries in the Credit Intermediation and Related Activities subsector groupEstablishments thatThis industry group comprises (1) lend funds raised from depositors; (2) lend funds raised from credit market borrowing; or (3) facilitate the lending of funds or issuance of credit by engaging in such activities as mortgage and loan brokerage, clearinghouse and reserve services, and check cashing services.</t>
  </si>
  <si>
    <t>Establishments primarily engaged in pouring and/or introducing molten nonferrous metal, under high pressure, into metal molds or dies to manufacture castings.Establishments in this industry purchase nonferrous metals made in otherEstablishments.</t>
  </si>
  <si>
    <t xml:space="preserve"> Nonstore Retailers.</t>
  </si>
  <si>
    <t>Establishments primarily engaged in providing a range of day-to-day office administrative services, such as financial planning; billing and recordkeeping; personnel; and physical distribution and logistics for others on a contract or fee basis. TheseEstablishments do not provide operating staff to carry out the complete operations of a business.</t>
  </si>
  <si>
    <t>Establishments primarily engaged in manufacturing office furniture and/or office and store fixtures. The furniture may be made on a stock or custom basis and may be assembled or unassembled (i.e., knockdown).Â </t>
  </si>
  <si>
    <t>Establishments primarily engaged in manufacturing office supplies. Examples of products made by theseEstablishments are pens, pencils, felt tip markers, crayons, chalk, pencil sharpeners, staplers, hand operated stamps, modeling clay, and inked ribbons.</t>
  </si>
  <si>
    <t>Establishments primarily engaged in manufacturing ophthalmic goods. Examples of products made by theseEstablishments are prescription eyeglasses (except manufactured in a retail setting), contact lenses, sunglasses, eyeglass frames, and reading glasses made to standard powers, and protective eyewear.</t>
  </si>
  <si>
    <t>Establishments primarily engaged in one or more of the following:This industry group comprises (1) manufacturing optical instruments and lens, such as binoculars, microscopes (except electron, proton), telescopes, prisms, and lenses (except ophthalmic); (2) coating or polishing lenses (except ophthalmic); and (3) mounting lenses (except ophthalmic).</t>
  </si>
  <si>
    <t>Establishments primarily engaged inThis industry group comprises (1) manufacturing aircraft parts or auxiliary equipment (except engines and aircraft fluid power subassemblies) and/or (2) developing and making prototypes of aircraft parts and auxiliary equipment. Auxiliary equipment includes such items as crop dusting apparatus, armament racks, inflight refueling equipment, and external fuel tanks.</t>
  </si>
  <si>
    <t>Establishments primarily engaged in manufacturing animal food (except dog and cat) from ingredients, such as grains, oilseed mill products, and meat products.</t>
  </si>
  <si>
    <t>Establishments primarily engaged in manufacturing basic inorganic chemicals (except industrial gases and synthetic dyes and pigments).</t>
  </si>
  <si>
    <t>Establishments primarily engaged in manufacturing basic organic chemicals (except petrochemicals, industrial gases, and synthetic dyes and pigments).</t>
  </si>
  <si>
    <t>Establishments primarily engaged in manufacturing commercial and service industry equipment (except optical instruments and lenses, and photographic and photocopying equipment).</t>
  </si>
  <si>
    <t>Establishments primarily engaged in providing expertise in the field of information technologies through one or more of the following activities:This industry group comprises (1) writing, modifying, testing, and supporting software to meet the needs of a particular customer; (2) planning and designing computer systems that integrate computer hardware, software, and communication technologies; (3) on-site management and operation of clients computer systems and/or data processing facilities; and (4) other professional and technical computer-related advice and services.Â </t>
  </si>
  <si>
    <t>Establishments primarily engaged in manufacturing concrete products (except block, brick, and pipe).</t>
  </si>
  <si>
    <t>This comprises the following industry groups:This industry group comprises (1)Establishments primarily engaged in the merchant wholesale distribution of furniture (except hospital beds, medical furniture, and drafting tables). (2)Establishments primarily engaged in the merchant wholesale distribution of home furnishings and/or housewares. (3)Establishments primarily engaged in the merchant wholesale distribution of lumber; plywood; reconstituted wood fiber products; wood fencing; doors and windows and their frames (all materials); wood roofing and siding; and/or other wood or metal millwork. (4)Establishments primarily engaged in the merchant wholesale distribution of stone, cement, lime, construction sand, and gravel; brick; asphalt and concrete mixtures; and/or concrete, stone, and structural clay products. (5)Establishments primarily engaged in the merchant wholesale distribution of nonwood roofing and nonwood siding and insulation materials. (6)Establishments primarily engaged in the merchant wholesale distribution of manufactured homes (i.e., mobile homes) and/or prefabricated buildings and Establishments primarily engaged in the merchant wholesale distribution of construction materials (except lumber, plywood, millwork, wood panels, brick, stone, roofing, siding, electrical and wiring supplies, and insulation materials). (7)Establishments primarily engaged in the merchant wholesale distribution of products of the primary metals industries. Service centers maintain inventory and may perform functions, such as sawing, shearing, bending, leveling, cleaning, or edging, on a custom basis as part of sales transactions and in the merchant wholesale distribution of coal, coke, metal ores, and/or nonmetallic minerals (except precious and semiprecious stones and minerals used in construction, such as sand and gravel).(8)Establishments primarily engaged in the merchant wholesale distribution of hardware, knives, handtools, plumbing equipment, hydronic heating equipment, household-type water heaters, other plumbing supplies, warm air heating and air-conditioning equipment and supplies, and refrigeration equipment (except household-type refrigerators, freezers, and air-conditioners).(9)Establishments primarily engaged in the merchant wholesale distribution of sporting, recreational, toy, hobby, and jewelry goods and supplies, and precious stones and metals.</t>
  </si>
  <si>
    <t>Establishments primarily engaged in manufacturing internal combustion engines (except automotive gasoline and aircraft).</t>
  </si>
  <si>
    <t>Establishments primarily engaged in manufacturing industrial and commercial electric apparatus and other equipment (except lighting equipment, household appliances, transformers, motors, generators, switchgear, relays, industrial controls, batteries, communication and energy wire and cable, wiring devices, and carbon and graphite products). This industry includes power converters (i.e., AC to DC and DC to AC), power supplies, surge suppressors, and similar equipment for industrial-type and consumer-type equipment.</t>
  </si>
  <si>
    <t>This comprises the following industry groups:This industry group comprises (1)Establishments primarily engaged in the merchant wholesale distribution of bulk printing and/or writing paper generally on rolls for further processing, stationery, office supplies, and/or gift wrap, kraft wrapping and other coarse paper, paperboard, converted paper (except stationery and office supplies), and/or related disposable plastics products. (2)Establishments primarily engaged in the merchant wholesale distribution of piece goods, fabrics, knitting yarns (except industrial), thread and other notions, and/or hair accessories, men</t>
  </si>
  <si>
    <t>Establishments primarily engaged in manufacturing nonmetallic mineral products (except pottery, ceramics, and plumbing fixtures; clay building materials and refractories; glass and glass products; cement; ready-mix concrete; concrete products; lime; gypsum products; abrasive products; cut stone and stone products; ground and treated minerals and earth; and mineral wool).</t>
  </si>
  <si>
    <t>Construction of other nonresidential structures</t>
  </si>
  <si>
    <t>Establishments primarily engaged in manufacturing petroleum products (except asphalt paving, roofing and saturated materials) from refined petroleum or coal products made in coke ovens not integrated with a steel mill.</t>
  </si>
  <si>
    <t>Establishments primarily engaged in manufacturing resilient floor covering and other plastics products (except film, sheet, bags, profile shapes, pipes, pipe fittings, laminates, foam products, and bottles).</t>
  </si>
  <si>
    <t>This industry group comprisesThis industry group comprises (1) Furniture and Home Furnishings Stores, (2) Electronics and Appliance Stores, (3) Building Material and Garden Equipment and Supplies Dealers, (4) Health and Personal Care Stores, (5) Gasoline Stations, (6) Clothing and Clothing Accessories Stores, (7) Sporting Goods, Hobby, Book, and Music Stores, (8) Miscellaneous Store Retailers (e.g. Florists), and (9) Nonstore Retailers.</t>
  </si>
  <si>
    <t>Establishments primarily engaged in manufacturing rubber products (except tires, hoses, and belting) from natural and synthetic rubber.</t>
  </si>
  <si>
    <t>Establishments primarily engaged in one or more of the following:This industry group comprises (1) recovering nonferrous metals (except copper and aluminum) and nonferrous metal alloys from scrap; (2) alloying purchased nonferrous metals (except copper and aluminum); (3) rolling, drawing, and extruding shapes from purchased nonferrous metals (except copper and aluminum); and (4) recovering nonferrous metals from scrap (except copper and aluminum) and rolling, drawing, or extruding shapes in integrated facilities.</t>
  </si>
  <si>
    <t>Establishments primarily engaged in providing support services, on a contract or fee basis, required for the mining and quarrying of minerals and for the extraction of oil and gas. Drilling, taking core samples, and making geological observations at prospective sites (except geophysical surveying and mapping) for minerals, on a contract or fee basis, are included in this industry.</t>
  </si>
  <si>
    <t>Establishments primarily engaged in providing day-to-day business and other organizational support services (except office administrative services; facilities support services; employment services; business support services; travel arrangement and reservation services; security and investigation services; and services to buildings and dwellings).</t>
  </si>
  <si>
    <t>Establishments primarily engaged in making textile products (except carpets and rugs, curtains and draperies, and other household textile products) from purchased materials.</t>
  </si>
  <si>
    <t>Establishments primarily engaged in manufacturing transportation equipment (except motor vehicles, motor vehicle parts, boats, ships, railroad rolling stock, aerospace products, motorcycles, bicycles, armored vehicles and tanks).</t>
  </si>
  <si>
    <t>Establishments primarily engaged in manufacturing and/or rebuilding motor vehicle parts and accessories (except motor vehicle gasoline engines and engine parts, motor vehicle electrical and electronic equipment, motor vehicle steering and suspension components, motor vehicle brake systems, motor vehicle transmissions and power train parts, motor vehicle seating and interior trim, and motor vehicle stampings).</t>
  </si>
  <si>
    <t>This industry group comprises (1) Family Planning Centers, (2) Outpatient Mental Health and Substance Abuse Centers, and (3) Other Outpatient Care Centers including:  (a) HMO Medical Centers, (b) Kidney Dialysis Centers, (c) Freestanding Ambulatory Surgical and Emergency Centers, and (d) All Other Outpatient Care Centers.</t>
  </si>
  <si>
    <t>Establishments primarily engaged in one or more of the following:This industry group comprises (1) slaughtering animals; (2) preparing processed meats and meat byproducts; and (3) rendering and/or refining animal fat, bones, and meat scraps. This industry includesEstablishments primarily engaged in assembly cutting and packing of meats (i.e., boxed meats) from purchased carcasses.</t>
  </si>
  <si>
    <t>Establishments primarily engaged inThis industry group comprises (1) slaughtering poultry and small game and/or (2) preparing processed poultry and small game meat and meat byproducts.</t>
  </si>
  <si>
    <t>Establishments primarily engaged in manufacturing packaging machinery, such as wrapping, bottling, canning, and labeling machinery.</t>
  </si>
  <si>
    <t>Establishments primarily engaged inThis industry group comprises (1) mixing pigments, solvents, and binders into paints and other coatings, such as stains, varnishes, lacquers, enamels, shellacs, and water repellant coatings for concrete and masonry, and/or (2) manufacturing allied paint products, such as putties, paint and varnish removers, paint brush cleaners, and frit.</t>
  </si>
  <si>
    <t>Establishments primarily engaged in manufacturing paper from pulp. TheseEstablishments may manufacture or purchase pulp. In addition, theEstablishments may convert the paper they make. The activity of making paper classifies an establishment into this industry regardless of the output.</t>
  </si>
  <si>
    <t>Establishments primarily engaged in one or more of the following:This industry group comprises (1) cutting and coating paper and paperboard; (2) cutting and laminating paper, paperboard, and other flexible materials (except plastics film to plastics film); (3) manufacturing bags, multiwall bags, sacks of paper, metal foil, coated paper, laminates, or coated combinations of paper and foil with plastics film; (4) manufacturing laminated aluminum and other converted metal foils from purchased foils; and (5) surface coating paper or paperboard.</t>
  </si>
  <si>
    <t>Establishments primarily engaged in producing live presentations involving the performances of actors and actresses, singers, dancers, musical groups and artists, and other performing artists.</t>
  </si>
  <si>
    <t>Establishments primarily engaged in the formulation and preparation of agricultural and household pest control chemicals (except fertilizers).</t>
  </si>
  <si>
    <t>Establishments primarily engaged in providing personal services (except personal care services, death care services, or drycleaning and laundry services).</t>
  </si>
  <si>
    <t>Establishments primarily engaged inThis industry group comprises (1) manufacturing acyclic (i.e., aliphatic) hydrocarbons such as ethylene, propylene, and butylene made from refined petroleum or liquid hydrocarbons and/or (2) manufacturing cyclic aromatic hydrocarbons such as benzene, toluene, styrene, xylene, ethyl benzene, and cumene made from refined petroleum or liquid hydrocarbons.</t>
  </si>
  <si>
    <t>This industry comprises establishments with bulk and non-bulk liquid storage facilities primarily engaged in the merchant wholesale distribution of crude petroleum and petroleum products, including liquefied petroleum gas.</t>
  </si>
  <si>
    <t>Establishments primarily engaged in manufacturing in-vivo diagnostic substances and pharmaceutical preparations (except biological) intended for internal and external consumption in dose forms, such as ampoules, tablets, capsules, vials, ointments, powders, solutions, and suspensions.</t>
  </si>
  <si>
    <t>Establishments primarily engaged in providing still, video, or digital photography services. TheseEstablishments may specialize in a particular field of photography, such as commercial and industrial photography, portrait photography, and special events photography. Commercial or portrait photography studios are included in this industry.</t>
  </si>
  <si>
    <t>Establishments primarily engaged in manufacturing photographic and photocopying equipment, such as cameras (except television, video and digital) projectors, film developing equipment, photocopying equipment, and microfilm equipment.</t>
  </si>
  <si>
    <t>Establishments of health practitioners having the degree of M.D. (Doctor of Medicine) or D.O. (Doctor of Osteopathy) primarily engaged in the independent practice of general or specialized medicine (e.g., anesthesiology, oncology, ophthalmology, psychiatry) or surgery. These practitioners operate private or group practices in their own offices (e.g., centers, clinics) or in the facilities of others, such as hospitals or HMO medical centers.</t>
  </si>
  <si>
    <t>Establishments primarily engaged inThis industry group comprises (1) manufacturing complete light trucks and utility vehicles (i.e., body and chassis) or (2) manufacturing light truck and utility vehicle chassis only. Vehicles made include light duty vans, pick-up trucks, minivans, and sport utility vehicles.</t>
  </si>
  <si>
    <t>Establishments primarily engaged inThis industry group comprises (1) converting plastics resins into unsupported plastics film and sheet and/or (2) forming, coating or laminating plastics film and sheet into plastics bags.</t>
  </si>
  <si>
    <t>Establishments primarily engaged in manufacturing plastics bottles.</t>
  </si>
  <si>
    <t>Establishments primarily engaged in manufacturing plastics pipes and pipe fittings, and plastics profile shapes such as rod, tube, and sausage casings.</t>
  </si>
  <si>
    <t>Establishments primarily engaged inThis industry group comprises (1) manufacturing resins, plastics materials, and nonvulcanizable thermoplastic elastomers and mixing and blending resins on a custom basis and/or (2) manufacturing noncustomized synthetic resins.</t>
  </si>
  <si>
    <t>Establishments primarily engaged in one or more of the following:This industry group comprises (1) manufacturing veneer and/or plywood; (2) manufacturing engineered wood members; and (3) manufacturing reconstituted wood products. This industry includes manufacturing plywood from veneer made in the same establishment or from veneer made in otherEstablishments, and manufacturing plywood faced with nonwood materials, such as plastics or metal.</t>
  </si>
  <si>
    <t>Establishments primarily engaged in manufacturing polystyrene foam products.</t>
  </si>
  <si>
    <t>Establishments primarily engaged in breeding, hatching, and raising poultry for meat or egg production.</t>
  </si>
  <si>
    <t>Establishments primarily engaged in pouring and finishing concrete foundations and structural elements.  This industry also includes establishments performing grout and shotcrete work.  The work performed may include new work, additions, alterations, maintenance, and repairs.
Illustrative Examples:
Concrete pouring and finishing
Gunite contractors
Concrete pumping (i.e., placement)
Mud-jacking contractors
Concrete work (except paving)
Shotcrete contractors
Footing and foundation concrete contractors
Cross-References. Establishments primarily engaged in--</t>
  </si>
  <si>
    <t>Establishments primarily engaged in manufacturing power boilers and heat exchangers.Establishments in this industry may perform installation in addition to manufacturing power boilers and heat exchangers.</t>
  </si>
  <si>
    <t>Establishments primarily engaged in manufacturing power-driven (e.g., battery, corded, pneumatic) handtools, such as drills, screwguns, circular saws, chain saws, staplers, and nailers.</t>
  </si>
  <si>
    <t xml:space="preserve">Establishments primarily engaged inThis industry group comprises (1) refining alumina (i.e., aluminum oxide) generally from bauxite and (2) making aluminum from alumina and/or rolling, drawing, extruding, or casting the aluminum they make into primary forms (e.g., bar, billet, ingot, plate, rod, sheet, strip).Establishments in this industry may make primary aluminum or aluminum-based alloys from alumina. </t>
  </si>
  <si>
    <t>Establishments primarily engaged in manufacturing wet or dry primary batteries.</t>
  </si>
  <si>
    <t>Establishments primarily engaged in one or more of the following:This industry group comprises (1) direct reduction of iron ore; (2) manufacturing pig iron in molten or solid form; (3) converting pig iron into steel; (4) manufacturing ferroalloys; (5) making steel; (6) making steel and manufacturing shapes (e.g., bar, plate, rod, sheet, strip, wire); and (7) making steel and forming pipe and tube.</t>
  </si>
  <si>
    <t>Establishments primarily engaged in loading components onto printed circuit boards or who manufacture and ship loaded printed circuit boards. Also known as printed circuit assemblies, electronics assemblies, or modules, these products are printed circuit boards that have some or all of the semiconductor and electronic components inserted or mounted and are inputs to a wide variety of electronic systems and devices.</t>
  </si>
  <si>
    <t>Establishments primarily engaged in performing prepress (e.g., platemaking, typesetting) and postpress services (e.g., book binding) in support of printing activities.</t>
  </si>
  <si>
    <t>Establishments primarily engaged in the merchant wholesale distribution of photographic equipment and supplies; office, computer, and computer peripheral equipment; and medical, dental, hospital, ophthalmic, and other commercial and professional equipment and supplies.</t>
  </si>
  <si>
    <t>Establishments that operate facilities or provide services to meet varied cultural, entertainment, and recreational interests of their patrons. This sector comprisesThis industry group comprises (1)Establishments that are involved in producing, promoting, or participating in live performances, events, or exhibits intended for public viewing; (2)Establishments that preserve and exhibit objects and sites of historical, cultural, or educational interest; and (3)Establishments that operate facilities or provide services that enable patrons to participate in recreational activities or pursue amusement, hobby, and leisure-time interests.   SomeEstablishments that provide cultural, entertainment, or recreational facilities and services are classified in other sectors. Excluded from this sector are:This industry group comprises (1)Establishments that provide both accommodations and recreational facilities, such as hunting and fishing camps and resort and casino hotels are classified in Subsector 721, Accommodation; (2) restaurants and night clubs that provide live entertainment in addition to the sale of food and beverages are classified in Subsector 722, Food Services and Drinking Places; (3) motion picture theaters, libraries and archives, and publishers of newspapers, magazines, books, periodicals, and computer software are classified in Sector 51, Information; and (4)Establishments using transportation equipment to provide recreational and entertainment services, such as those operating sightseeing buses, dinner cruises, or helicopter rides, are classified in Subsector 487, Scenic and Sightseeing Transportation.</t>
  </si>
  <si>
    <t>Establishments primarily engaged in one or more of the following:This industry group comprises (1) manufacturing complete aircraft, missiles, or space vehicles; (2) manufacturing aerospace engines, propulsion units, auxiliary equipment or parts; (3) developing and making prototypes of aerospace products; (4) aircraft conversion (i.e., major modifications to systems); and (5) complete aircraft or propulsion systems overhaul and rebuilding (i.e., periodic restoration of aircraft to original design specifications).Â </t>
  </si>
  <si>
    <t>Establishments that both print and publish may fill excess capacity with commercial or job printing. However, the publishing activity is still considered to be the primary activity of theseEstablishments.</t>
  </si>
  <si>
    <t>Establishments primarily engaged in one or more of the following:This industry group comprises (1) manufacturing and/or rebuilding locomotives, locomotive frames and parts; (2) manufacturing railroad, street, and rapid transit cars and car equipment for operation on rails for freight and passenger service; and (3) manufacturing rail layers, ballast distributors, rail tamping equipment and other railway track maintenance equipment.</t>
  </si>
  <si>
    <t>Establishments, such as batch plants or mix plants, primarily engaged in manufacturing concrete delivered to a purchaser in a plastic and unhardened state. Ready-mix concrete manufacturingEstablishments may mine, quarry, or purchase sand and gravel.</t>
  </si>
  <si>
    <t>Establishments primarily engaged in one or more of the following:This industry group comprises (1) manufacturing shortening and margarine from purchased fats and oils; (2) refining and/or blending vegetable, oilseed, and tree nut oils from purchased oils; and (3) blending purchased animal fats with purchased vegetable fats.</t>
  </si>
  <si>
    <t>Establishments primarily engaged in manufacturing relays, motor starters and controllers, and other industrial controls and control accessories.</t>
  </si>
  <si>
    <t>This industry group comprises (1)Establishments primarily engaged in operating religious organizations, such as churches, religious temples, and monasteries, and/or (2)Establishments primarily engaged in administering an organized religion or promoting religious activities.</t>
  </si>
  <si>
    <t>This industry includes maintenance and repair of residential buildings.</t>
  </si>
  <si>
    <t>Establishments primarily engaged in manufacturing rubber hose and/or plastics (reinforced) hose and belting from natural and synthetic rubber and/or plastics resins.Establishments manufacturing garden hoses from purchased hose are included in this industry.</t>
  </si>
  <si>
    <t>Establishments primarily engaged in manufacturing tires and inner tubes from natural and synthetic rubber and retreading or rebuilding tires.</t>
  </si>
  <si>
    <t>Establishments, such as barber and beauty shops, that provide appearance care services to individual consumers.</t>
  </si>
  <si>
    <t>Establishments primarily engaged in developing mine sites, or in mining or quarrying nonmetallic minerals (except fuels). Also included are certain well and brine operations, and preparation plants primarily engaged in beneficiating (e.g., crushing, grinding, washing, and concentrating) nonmetallic minerals.   Beneficiation is the process whereby the extracted material is reduced to particles which can be separated into mineral and waste, the former suitable for further processing or direct use. The operations that take place in beneficiation are primarily mechanical, such as grinding, washing, magnetic separation, and centrifugal separation. In contrast, manufacturing operations primarily use chemical and electrochemical processes, such as electrolysis and distillation. However, some treatments, such as heat treatments, take place in both the beneficiation and the manufacturing (i.e., smelting/refining) stages. The range of preparation activities varies by mineral and the purity of any given ore deposit. While some minerals, such as petroleum and natural gas, require little or no preparation, others are washed and screened, while yet others, such as gold and silver, can be transformed into bullion before leaving the mine site.</t>
  </si>
  <si>
    <t>Establishments primarily engaged in converting purchased sanitary paper stock or wadding into sanitary paper products, such as facial tissues, handkerchiefs, table napkins, toilet paper, towels, disposable diapers, sanitary napkins, and tampons.</t>
  </si>
  <si>
    <t>Industries in the Telecommunications subsector groupEstablishments that provide telecommunications and the services related to that activity (e.g., telephony, including Voice over Internet Protocol (VoIP); cable and satellite television distribution services; Internet access; telecommunications reselling services). The Telecommunications subsector is primarily engaged in operating, and/or providing access to facilities for the transmission of voice, data, text, sound, and video. Transmission facilities may be based on a single technology or a combination of technologies.Establishments in the Telecommunications subsector are grouped into four industry groups. The first three are comprised ofEstablishments that operate transmission facilities and infrastructure that they own and/or lease, and provide telecommunications services using those facilities. The distinction among the first three industry groups is the type of infrastructure operated (i.e., wired, wireless, or satellite). The fourth industry group is comprised ofEstablishments that provide support activities, telecommunications reselling services, or many of the same services provided byEstablishments in the first three industry groups, but do not operate as telecommunications carriers.</t>
  </si>
  <si>
    <t>Establishments engaged in conducting original investigation undertaken on a systematic basis to gain new knowledge (research) and/or the application of research findings or other scientific knowledge for the creation of new or significantly improved products or processes (experimental development). The industries within this industry group are defined on the basis of the domain of research; that is, on the scientific expertise of the establishment.</t>
  </si>
  <si>
    <t>Establishments primarily engaged inThis industry group comprises (1) machining precision turned products or (2) manufacturing metal bolts, nuts, screws, rivets, and other industrial fasteners. Included in this industry areEstablishments primarily engaged in manufacturing parts for machinery and equipment on a customized basis.</t>
  </si>
  <si>
    <t>Establishments primarily engaged in one or more of the following:This industry group comprises (1) canning seafood (including soup); (2) smoking, salting, and drying seafood; (3) eviscerating fresh fish by removing heads, fins, scales, bones, and entrails; (4) shucking and packing fresh shellfish; (5) processing marine fats and oils; and (6) freezing seafood.Establishments known as "floating factory ships" that are engaged in the gathering and processing of seafood into canned seafood products are included in this industry.</t>
  </si>
  <si>
    <t>Establishments primarily engaged in one or more of the following:This industry group comprises (1) manufacturing dressings and sauces, such as mayonnaise, salad dressing, vinegar, mustard, horseradish, soy sauce, tarter sauce, Worcestershire sauce, and other prepared sauces (except tomato-based and gravies); (2) manufacturing spices, table salt, seasoning, and flavoring extracts (except coffee and meat), and natural food colorings; and (3) manufacturing dry mix food preparations, such as salad dressing mixes, gravy and sauce mixes, frosting mixes, and other dry mix preparations.</t>
  </si>
  <si>
    <t xml:space="preserve">Establishments primarily engaged in one or more of the following:This industry group comprises (1) flat rolling or continuous casting sheet, plate, foil and welded tube from purchased aluminum; (2) recovering aluminum from scrap and flat rolling or continuous casting sheet, plate, foil, and welded tube in integrated mills; (3) extruding aluminum bar, pipe, and tube blooms or extruding or drawing tube from purchased aluminum; (4) recovering aluminum from scrap and extruding bar, pipe, and tube blooms or drawing tube in integrated mills; (5) rolling, drawing, or extruding shapes (except flat rolled sheet, plate, foil, and welded tube; extruded rod, bar, pipe, and tube blooms; and drawn or extruded tube) from purchased aluminum; and/or (6) recovering aluminum from scrap and rolling, drawing or extruding shapes (except flat rolled sheet, plate, foil, and welded tube; extruded rod, bar, pipe, and tube blooms; and drawn or extruded tube) in integrated mills. </t>
  </si>
  <si>
    <t>Establishments primarily engaged in one or more of the following:This industry group comprises (1) recovering copper or copper alloys from scraps; (2) alloying purchased copper; (3) rolling, drawing, or extruding shapes, (e.g., bar, plate, sheet, strip, tube, wire) from purchased copper; and (4) recovering copper or copper alloys from scrap and rolling, drawing, or extruding shapes (e.g., bar, plate, sheet, strip, tube, wire).</t>
  </si>
  <si>
    <t>Establishments primarily engaged in manufacturing iron and steel tube and pipe, drawing steel wire, and rolling or drawing shapes from purchased iron or steel.</t>
  </si>
  <si>
    <t>Industries in the Securities, Commodity Contracts, and Other Financial Investments and Related Activities subsector groupEstablishments that are primarily engaged in one of the following:This industry group comprises (1) underwriting securities issues and/or making markets for securities and commodities; (2) acting as agents (i.e., brokers) between buyers and sellers of securities and commodities; (3) providing securities and commodity exchange services; and (4) providing other services, such as managing portfolios of assets; providing investment advice; and trust, fiduciary, and custody services.</t>
  </si>
  <si>
    <t>Establishments primarily engaged in manufacturing wafer processing equipment, semiconductor assembly and packaging equipment, and other semiconductor making machinery.</t>
  </si>
  <si>
    <t>Establishments primarily engaged in manufacturing semiconductors and related solid state devices. Examples of products made by theseEstablishments are integrated circuits, memory chips, microprocessors, diodes, transistors, solar cells and other optoelectronic devices.</t>
  </si>
  <si>
    <t xml:space="preserve">Establishments primarily engaged in manufacturing office furniture and/or office and store fixtures. The furniture may be made on a stock or custom basis and may be assembled or unassembled (i.e., knockdown). </t>
  </si>
  <si>
    <t>Establishments primarily engaged in operating a shipyard. Shipyards are fixed facilities with drydocks and fabrication equipment capable of building a ship, defined as watercraft typically suitable or intended for other than personal or recreational use. Activities of shipyards include theConstruction of ships, their repair, conversion and alteration, the production of prefabricated ship and barge sections, and specialized services, such as ship scaling.</t>
  </si>
  <si>
    <t>Establishments primarily engaged in manufacturing instruments for measuring and testing the characteristics of electricity and electrical signals. Examples of products made by theseEstablishments are circuit and continuity testers, voltmeters, ohm meters, wattmeters, multimeters, and semiconductor test equipment.</t>
  </si>
  <si>
    <t>Establishments primarily engaged in manufacturing signs and related displays of all materials (except printing paper and paperboard signs, notices, displays).</t>
  </si>
  <si>
    <t>Construction of single-family residential structures</t>
  </si>
  <si>
    <t>Establishments primarily engaged in manufacturing small electric appliances and electric housewares, household-type fans, household-type vacuum cleaners, and other electric householdtype floor care machines.</t>
  </si>
  <si>
    <t>Establishments primarily engaged in manufacturing food (except animal food; grain and oilseed milling; sugar and confectionery products; preserved fruit, vegetable, and specialty foods; dairy products; meat products; seafood products; and bakeries and tortillas). The industry group includes industries with different production processes, such as snack food manufacturing; coffee and tea manufacturing; concentrate, syrup, condiment, and spice manufacturing; and, in general, an entire range of other miscellaneous food product manufacturing.</t>
  </si>
  <si>
    <t>Establishments primarily engaged in manufacturing and packaging soap and other cleaning compounds, surface active agents, and textile and leather finishing agents used to reduce tension or speed the drying process.</t>
  </si>
  <si>
    <t>Establishments primarily engaged in one or more of the following:This industry group comprises (1) manufacturing soft drinks; (2) manufacturing ice; and (3) purifying and bottling water.</t>
  </si>
  <si>
    <t xml:space="preserve">Establishments primarily engaged in computer software publishing or publishing and reproduction.Establishments in this industry carry out operations necessary for producing and distributing computer software, such as designing, providing documentation, assisting in installation, and providing support services to software purchasers. TheseEstablishments may design, develop, and publish, or publish only. </t>
  </si>
  <si>
    <t>Establishments primarily engaged in producing and distributing musical recordings, in publishing music, or in providing sound recording and related services.</t>
  </si>
  <si>
    <t>Establishments, known as tool and die shops, primarily engaged in manufacturing special tools and fixtures, such as cutting dies and jigs.</t>
  </si>
  <si>
    <t>Establishments providing specialized design services (except architectural, engineering, and computer systems design).</t>
  </si>
  <si>
    <t>Establishments primarily engaged in manufacturing power, distribution, and specialty transformers (except electronic components). Industrial-type and consumer-type transformers in this industry vary (e.g., step up or step down) voltage but do not convert alternating to direct or direct to alternating current.</t>
  </si>
  <si>
    <t>Establishments primarily engaged in manufacturing gears, speed changers, and industrial high-speed drives (except hydrostatic).</t>
  </si>
  <si>
    <t>Establishments primarily engaged in manufacturing sporting and athletic goods (except apparel and footwear).</t>
  </si>
  <si>
    <t>This industry group comprises (1) sports teams or clubs primarily participating in live sporting events before a paying audience; (2)Establishments primarily engaged in operating racetracks; (3) independent athletes engaged in participating in live sporting or racing events before a paying audience; (4) owners of racing participants, such as cars, dogs, and horses, primarily engaged in entering them in racing events or other spectator sports events; and (5)Establishments, such as sports trainers, primarily engaged in providing specialized services to support participants in sports events or competitions. The sports teams and clubs included in this industry may or may not operate their own arena, stadium, or other facility for presenting their games or other spectator sports events.</t>
  </si>
  <si>
    <t>Establishments primarily engaged inThis industry group comprises (1) manufacturing steel springs by forming, such as cutting, bending, and heat winding, metal rod or strip stock and/or (2) manufacturing wire springs and fabricated wire products from wire drawn elsewhere (except watch and clock springs).</t>
  </si>
  <si>
    <t>Establishments primarily engaged in converting paper or paperboard into products used for writing, filing, art work, and similar applications.</t>
  </si>
  <si>
    <t>Establishments primarily engaged in manufacturing storage batteries.</t>
  </si>
  <si>
    <t>Establishments that process agricultural inputs, such as sugarcane, beet, and cacao, to give rise to a new product (sugar or chocolate), and (2) those that begin with sugar and chocolate and process these further.</t>
  </si>
  <si>
    <t>Establishments primarily engaged in manufacturing medical, surgical, ophthalmic, and veterinary instruments and apparatus (except electrotherapeutic, electromedical and irradiation apparatus). Examples of products made by theseEstablishments are syringes, hypodermic needles, anesthesia apparatus, blood transfusion equipment, catheters, surgical clamps, and medical thermometers.</t>
  </si>
  <si>
    <t>Establishments primarily engaged in manufacturing surgical appliances and supplies. Examples of products made by theseEstablishments are orthopedic devices, prosthetic appliances, surgical dressings, crutches, surgical sutures, personal industrial safety devices (except protective eyewear), hospital beds, and operating room tables.</t>
  </si>
  <si>
    <t>Establishments primarily engaged in manufacturing switchgear and switchboard apparatus.</t>
  </si>
  <si>
    <t>Establishments primarily engaged in manufacturing synthetic organic and inorganic dyes and pigments, such as lakes and toners (except electrostatic and photographic).</t>
  </si>
  <si>
    <t>Establishments primarily engaged in one of the following:This industry group comprises (1) manufacturing synthetic resins, plastics materials, and nonvulcanizable elastomers and mixing and blending resins on a custom basis; (2) manufacturing noncustomized synthetic resins; (3) manufacturing synthetic rubber; (4) manufacturing cellulosic (e.g., rayon, acetate) and noncellulosic (e.g., nylon, polyolefin, polyester) fibers and filaments in the form of monofilament, filament yarn, staple, or tow; or (5) manufacturing and texturizing cellulosic and noncellulosic fibers and filaments.</t>
  </si>
  <si>
    <t>Establishments primarily engaged in operating and/or providing access to transmission facilities and infrastructure that they own and/or lease for the transmission of voice, data, text, sound, and video using wired telecommunications networks. Transmission facilities may be based on a single technology or a combination of technologies.Establishments in this industry use the wired telecommunications network facilities that they operate to provide a variety of services, such as wired telephony services, including VoIP services; wired (cable) audio and video programming distribution; and wired broadband Internet services. By exception,Establishments providing satellite television distribution services using facilities and infrastructure that they operate are included in this industry.</t>
  </si>
  <si>
    <t>Establishments primarily engaged in manufacturing wire telephone and data communications equipment. These products may be standalone or board-level components of a larger system. Examples of products made by theseEstablishments are central office switching equipment, cordless telephones (except cellular), PBX equipment, telephones, telephone answering machines, LAN modems, multi-user modems, and other data communications equipment, such as bridges, routers, and gateways.</t>
  </si>
  <si>
    <t>Industries in the Forestry and Logging subsector grow and harvest timber on a long production cycle (i.e., of 10 years or more). Long production cycles use different production processes than short production cycles, which require more horticultural interventions prior to harvest, resulting in processes more similar to those found in the Crop Production subsector. Consequently, Christmas tree production and other production involving production cycles of less than 10 years, are classified in the Crop Production subsectorIndustries in this subsector specialize in different stages of the production cycle. Reforestation requires production of seedlings in specialized nurseries. Timber production requires natural forest or suitable areas of land that are available for a long duration. The maturation time for timber depends upon the species of tree, the climatic conditions of the region, and the intended purpose of the timber. The harvesting of timber (except when done on an extremely small scale) requires specialized machinery unique to the industry.Establishments gathering forest products, such as gums, barks, balsam needles, rhizomes, fibers, Spanish moss, and ginseng and truffles, are also included in this subsector.</t>
  </si>
  <si>
    <t>Establishments primarily engaged in manufacturing cigarettes, cigars, smoking and chewing tobacco, and reconstituted tobacco.</t>
  </si>
  <si>
    <t>Establishments primarily engaged inThis industry group comprises (1) growing crops (except oilseed and/or grain; vegetable and/or melon; fruit and tree nut; and greenhouse, nursery, and/or floriculture products). TheseEstablishments grow crops, such as tobacco, cotton, sugarcane, hay, sugar beets, peanuts, agave, herbs and spices, and hay and grass seeds; or (2) growing a combination of crops (except a combination of oilseed(s) and grain(s) and a combination of fruit(s) and tree nut(s)).</t>
  </si>
  <si>
    <t>Establishments primarily engaged in preparing, blending, compounding, and packaging toilet preparations, such as perfumes, shaving preparations, hair preparations, face creams, lotions (including sunscreens), and other cosmetic preparations.</t>
  </si>
  <si>
    <t>Establishments primarily engaged in manufacturing and/or rebuilding motor vehicle transmissions and power train parts.</t>
  </si>
  <si>
    <t>Establishments primarily engaged in one or more of the following:This industry group comprises (1) manufacturing travel trailers and campers designed to attach to motor vehicles; (2) manufacturing pickup coaches (i.e., campers) and caps (i.e., covers) for mounting on pickup trucks; and (3) manufacturing automobile, utility and light-truck trailers. Travel trailers do not have their own motor but are designed to be towed by a motor unit, such as an automobile or a light truck.</t>
  </si>
  <si>
    <t>Establishments primarily engaged in manufacturing truck trailers, truck trailer chassis, cargo container chassis, detachable trailer bodies, and detachable trailer chassis for sale separately.</t>
  </si>
  <si>
    <t>Establishments primarily engaged in manufacturing turbines (except aircraft); and complete turbine generator set units, such as steam, hydraulic, gas, and wind.</t>
  </si>
  <si>
    <t>Industries in the Oil and Gas Extraction subsector operate and/or develop oil and gas field properties. Such activities may include exploration for crude petroleum and natural gas; drilling, completing, and equipping wells; operating separators, emulsion breakers, desilting equipment, and field gathering lines for crude petroleum and natural gas; and all other activities in the preparation of oil and gas up to the point of shipment from the producing property. This subsector includes the production of crude petroleum, the mining and extraction of oil from oil shale and oil sands, and the production of natural gas, sulfur recovery from natural gas, and recovery of hydrocarbon liquids.Establishments in this subsector include those that operate oil and gas wells on their own account or for others on a contract or fee basis.Establishments primarily engaged in providing support services, on a fee or contract basis, required for the drilling or operation of oil and gas wells (except geophysical surveying and mapping, mine site preparation, andConstruction of oil/gas pipelines) are classified in Subsector 213, Support Activities for Mining.</t>
  </si>
  <si>
    <t>Establishments primarily engaged in manufacturing plastics foam products (except polystyrene).</t>
  </si>
  <si>
    <t>Construction of power and communication structures</t>
  </si>
  <si>
    <t>Establishments primarily engaged in manufacturing vaccines, toxoids, blood fractions, and culture media of plant or animal origin (except diagnostic).</t>
  </si>
  <si>
    <t>Establishments primarily engaged in crushing oilseeds and tree nuts, such as soybeans, cottonseeds, linseeds, peanuts, and sunflower seeds. Examples of products produced in theseEstablishments are oilseed oils, cakes, meals, and protein isolates and concentrates.</t>
  </si>
  <si>
    <t>Establishments primarily engaged in manufacturing truck and bus bodies and cabs and automobile bodies. The products made may be sold separately or may be assembled on purchased chassis and sold as complete vehicles.</t>
  </si>
  <si>
    <t>Establishments primarily engaged inThis industry group comprises (1) manufacturing vehicular lighting and/or (2) manufacturing and/or rebuilding motor vehicle electrical and electronic equipment. The products made can be used for all types of transportation equipment (i.e., aircraft, automobiles, trains, ships).</t>
  </si>
  <si>
    <t>Establishments primarily engaged in manufacturing and/or rebuilding motor vehicle gasoline engines, and engine parts, whether or not for vehicular use.</t>
  </si>
  <si>
    <t>Establishments primarily engaged in manufacturing motor vehicle stampings, such as fenders, tops, body parts, trim, and molding.</t>
  </si>
  <si>
    <t>Establishments primarily engaged in renting or leasing the following types of vehicles: passenger cars and trucks without drivers, and utility trailers. TheseEstablishments generally operate from a retail-like facility. SomeEstablishments offer only short-term rental, others only longerterm leases, and some provide both types of services.</t>
  </si>
  <si>
    <t>Establishments involved in providing repair and maintenance services for automotive vehicles, such as passenger cars, trucks, and vans, and all trailers.Establishments in this industry group employ mechanics with specialized technical skills to diagnose and repair the mechanical and electrical systems for automotive vehicles, repair automotive interiors, and paint or repair automotive exteriors.</t>
  </si>
  <si>
    <t>Establishments primarily engaged in manufacturing motor vehicle seating, seats, seat frames, seat belts, and interior trimmings.</t>
  </si>
  <si>
    <t>Industries in the Motor Vehicle and Parts Dealers subsector retail motor vehicles and parts from fixed point-of-sale locations.Establishments in this subsector typically operate from a showroom and/or an open lot where the vehicles are on display. The display of vehicles and the related parts require little by way of display equipment. The personnel generally include both the sales and sales support staff familiar with the requirements for registering and financing a vehicle as well as a staff of parts experts and mechanics trained to provide repair and maintenance services for the vehicles. Specific industries have been included in this subsector to identify the type of vehicle being retailed. Sales of capital or durable nonconsumer goods, such as medium and heavy-duty trucks, are always included in wholesale trade. These goods are virtually never sold through retail methods.</t>
  </si>
  <si>
    <t>Establishments primarily engaged in manufacturing wood products (exceptEstablishments operating sawmills and wood preservation facilities; andEstablishments manufacturing veneer, plywood, or engineered wood products).</t>
  </si>
  <si>
    <t>Establishments of licensed veterinary practitioners primarily engaged in the practice of veterinary medicine, dentistry, or surgery for animals; andEstablishments primarily engaged in providing testing services for licensed veterinary practitioners.</t>
  </si>
  <si>
    <t>Establishments primarily engaged in manufacturing navigational, measuring, electromedical, and control instruments. Examples of products made by theseEstablishments are aeronautical instruments, appliance regulators and controls (except switches), laboratory analytical instruments, navigation and guidance systems, and physical properties testing equipment.Â </t>
  </si>
  <si>
    <t>Establishments primarily engaged inThis industry group comprises (1) manufacturing welding and soldering equipment and accessories (except transformers), such as arc, resistance, gas, plasma, laser, electron beam, and ultrasonic welding equipment; welding electrodes; coated or cored welding wire; and soldering equipment (except handheld); (2) manufacturing scales and balances, including those used in laboratories; and (3) manufacturing general purpose machinery (except ventilating, heating, air-conditioning, and commercial refrigeration equipment; metal working machinery; engines, turbines, and power transmission equipment; pumps and compressors; material handling equipment; power-driven handtools; welding and soldering equipment; packaging machinery; industrial process furnaces and ovens; fluid power cylinders and actuators; fluid power pumps and motors; and scales and balances).</t>
  </si>
  <si>
    <t>Establishments primarily engaged in drilling oil and gas wells for others on a contract or fee basis. This industry includes contractors that specialize in spudding in, drilling in, redrilling, and directional drilling.</t>
  </si>
  <si>
    <t>Industries in the Wholesale Electronic Markets and Agents and Brokers subsector arrange for the sale of goods owned by others, generally on a fee or commission basis. They act on behalf of the buyers and sellers of goods. This subsector contains agents and brokers as well as business to business electronic markets that facilitate wholesale trade.</t>
  </si>
  <si>
    <t>Industries in the Fishing, Hunting, and Trapping subsector harvest fish and other wild animals from their natural habitats and are dependent upon a continued supply of the natural resource. The harvesting of fish is the predominant economic activity of this subsector and it usually requires specialized vessels that, by the nature of their size, configuration and equipment, are not suitable for any other type of production, such as transportation. Hunting and trapping activities utilize a wide variety of production processes and are classified in the same subsector as fishing because the availability of resources and the constraints imposed, such as conservation requirements and proper habitat maintenance, are similar.</t>
  </si>
  <si>
    <t>Establishments primarily engaged in one or more of the following:This industry group comprises (1) growing grapes and manufacturing wines and brandies; (2) manufacturing wines and brandies from grapes and other fruits grown elsewhere; and (3) blending wines and brandies.</t>
  </si>
  <si>
    <t>Establishments primarily engaged in manufacturing radio and television broadcast and wireless communications equipment. Examples of products made by theseEstablishments are: transmitting and receiving antennas, cable television equipment, GPS equipment, pagers, cellular phones, mobile communications equipment, and radio and television studio and broadcasting equipment.</t>
  </si>
  <si>
    <t>Establishments engaged in operating and maintaining switching and transmission facilities to provide communications via the airwaves.Establishments in this industry have spectrum licenses and provide services using that spectrum, such as cellular phone services, paging services, wireless Internet access, and wireless video services.</t>
  </si>
  <si>
    <t>Establishments primarily engaged in manufacturing current-carrying wiring devices and noncurrent-carrying wiring devices for wiring electrical circuits.</t>
  </si>
  <si>
    <t>Establishments primarily engaged in manufacturing wood or plastics laminated on wood kitchen cabinets, bathroom vanities, and countertops (except freestanding). The cabinets and counters may be made on a stock or custom basis.</t>
  </si>
  <si>
    <t>Establishments primarily engaged in manufacturing pulp without manufacturing paper or paperboard. The pulp is made by separating the cellulose fibers from the other impurities in wood or other materials, such as used or recycled rags, linters, scrap paper, and straw.</t>
  </si>
  <si>
    <t>Establishments primarily engaged in manufacturing hardwood and softwood cut stock and dimension stock (i.e., shapes); wood windows and wood doors; and other millwork including wood flooring. Dimension stock or cut stock is defined as lumber and worked wood products cut or shaped to specialized sizes. TheseEstablishments generally use woodworking machinery, such as jointers, planers, lathes, and routers to shape wood.</t>
  </si>
  <si>
    <t>Establishments primarily engaged in (1) erecting and assembling structural parts made from steel or precast concrete (e.g., steel beams, structural steel components, and similar products of precast concrete) and/or (2) assembling and installing other steel construction products (e.g., steel rods, bars, rebar, mesh, and cages) to reinforce poured-in-place concrete.  The work performed may include new work, additions, alterations, maintenance, and repairs.
Illustrative Examples:
Concrete product (e.g., structural precast, structural prestressed) installation
Rebar contractors
Erecting structural steel
Reinforcing steel contractors
Placing and tying reinforcing rod at a construction site
Structural steel contractors
Precast concrete panel, slab, or form installation
Cross-References.</t>
  </si>
  <si>
    <t>Establishments primarily engaged in structural framing and sheathing using materials other than structural steel or concrete.  The work performed may include new work, additions, alterations, maintenance, and repairs.
Illustrative Examples:
Building framing (except structural steel)
Post framing contractors
Foundation, building, wood, contractors
Steel framing contractors
Framing contractors
Wood frame component (e.g., truss) fabrication on site
Cross-References. Establishments primarily engaged in--</t>
  </si>
  <si>
    <t>Establishments primarily engaged in masonry work, stone setting, bricklaying, and other stone work. The work performed may include new work, additions, alterations, maintenance, and repairs.
Illustrative Examples:
Block laying
Marble, granite, and slate, exterior, contractors
Bricklaying
Masonry pointing, cleaning, or caulking
Concrete block laying
Stucco contractors
Foundation (e.g., brick, block, stone), building, contractors
Cross-References. Establishments primarily engaged in--</t>
  </si>
  <si>
    <t>Establishments primarily engaged in installing glass panes in prepared openings (i.e., glazing work) and other glass work for buildings.  The work performed may include new work, additions, alterations, maintenance, and repairs.
Illustrative Examples:
Decorative glass and mirror installation
Glazing contractors
Glass cladding installation
Stained glass installation
Glass coating and tinting (except automotive) contractors
Window pane or sheet installation
Glass installation (except automotive) contractors
Cross-References. Establishments primarily engaged in--</t>
  </si>
  <si>
    <t>Establishments primarily engaged in roofing.  This industry also includes establishments treating roofs (i.e., spraying, painting, or coating) and installing skylights.  The work performed may include new work, additions, alterations, maintenance, and repairs.
Illustrative Examples:
Painting, spraying, or coating, roof
Sheet metal roofing installation
Shake and shingle, roof, installation 
Skylight installation
Cross-References. Establishments primarily engaged in--</t>
  </si>
  <si>
    <t>Establishments primarily engaged in installing siding of wood, aluminum, vinyl, or other exterior finish material (except brick, stone, stucco, or curtain wall).  This industry also includes establishments installing gutters and downspouts.  The work performed may include new work, additions, alterations, maintenance, and repairs.
Illustrative Examples:
Downspout, gutter, and gutter guard installation
Fascia and soffit installation
Siding (e.g., vinyl, wood, aluminum) installation
Cross-References. Establishments primarily engaged in--</t>
  </si>
  <si>
    <t>Establishments primarily engaged in building foundation and structure trades work (except poured concrete, structural steel, precast concrete, framing, masonry, glass and glazing, roofing, and siding).  The work performed may include new work, additions, alterations, maintenance, and repairs.
Illustrative Examples:
Curtain wall, metal, installation
Forms for poured concrete, erecting and dismantling
Welding, on-site, contractors
Ornamental metal work installation
Fire escape installation
Decorative steel and wrought iron work installation
Cross-References. Establishments primarily engaged in--</t>
  </si>
  <si>
    <t>Establishments primarily engaged in installing and servicing electrical wiring and equipment.  Contractors included in this industry may include both the parts and labor when performing work.  These contractors may perform new work, additions, alterations, maintenance, and repairs.
Illustrative Examples:
Airport runway lighting contractors
Fiber optic cable (except transmission line) contractors
Alarm system (e.g., fire, burglar), electric, installation only
Highway, street, and bridge lighting and electrical signal installation
Audio equipment (except automotive) installation contractors
Home automation system installation
Lighting system installation
Cable television hookup contractors
Telecommunications equipment and wiring (except transmission line) installation contractors
Computer and network cable installation
Traffic signal installation
Environmental control system installation
Cable splicing, electrical or fiber optic
Cross-References. Establishments primarily engaged in--</t>
  </si>
  <si>
    <t>Establishments primarily engaged in installing and servicing plumbing, heating, and air-conditioning equipment.  Contractors in this industry may provide both parts and labor when performing work.  The work performed may include new work, additions, alterations, maintenance, and repairs.
Illustrative Examples:
Cooling tower installation
Heating, ventilation, and air-conditioning (HVAC) contractors
Duct work (e.g., cooling, dust collection, exhaust, heating, ventilation) installation
Lawn sprinkler system installation
Fire sprinkler system installation
Mechanical contractors
Fireplace, natural gas, installation
Refrigeration system (e.g., commercial, industrial, scientific) installation
Furnace installation
Sewer hookup and connection, building
Cross-References. Establishments primarily engaged in--</t>
  </si>
  <si>
    <t>Establishments primarily engaged in installing or servicing building equipment (except electrical, plumbing, heating, cooling, or ventilation equipment).  The repair and maintenance of miscellaneous building equipment is included in this industry.  The work performed may include new work, additions, alterations, maintenance, and repairs.
Illustrative Examples:
Automated and revolving door installation
Lightning protection equipment (e.g., lightning rod) installation
Boiler and pipe insulation installation
Machine rigging
Commercial-type door installation
Millwrights
Conveyor system installation
Overhead door, commercial- or industrial-type, installation
Dismantling large-scale machinery and equipment
Revolving door installation
Elevator installation
Satellite dish, household-type, installation
Escalator installation
Vacuum cleaning system, built-in, installation
Gasoline pump, service station, installation
Cross-References. Establishments primarily engaged in--</t>
  </si>
  <si>
    <t>Establishments primarily engaged in drywall, plaster work, and building insulation work.  Plaster work includes applying plain or ornamental plaster, and installation of lath to receive plaster.  The work performed may include new work, additions, alterations, maintenance, and repairs.  Establishments primarily engaged in providing firestop services are included in this industry.
Illustrative Examples:
Acoustical ceiling tile and panel installation
Lathing contractors
Drop ceiling installation
Plastering (i.e., ornamental, plain) contractors
Drywall contractors
Soundproofing contractors
Firestop contractors
Fresco (i.e., decorative plaster finishing) contractors
Taping and finishing drywall
Gypsum board installation
Wall cavity and attic space insulation installation
Cross-References. Establishments primarily engaged in--</t>
  </si>
  <si>
    <t>Establishments primarily engaged in interior or exterior painting or interior wall covering.  The work performed may include new work, additions, alterations, maintenance, and repairs.
Illustrative Examples:
Bridge painting
Paperhanging or removal contractors
House painting
Ship painting contractors
Paint and wallpaper stripping
Wallpaper hanging and removal contractors
Cross-References. Establishments primarily engaged in--</t>
  </si>
  <si>
    <t>Establishments primarily engaged in the installation of resilient floor tile, carpeting, linoleum, and hardwood flooring.  The work performed may include new work, additions, alterations, maintenance, and repairs.
Illustrative Examples:
Carpet, installation only
Resilient floor tile or sheet (e.g., linoleum, rubber, vinyl), installation only
Vinyl flooring contractors
Resurfacing hardwood flooring
Hardwood flooring, installation only
Floor laying, scraping, finishing, and refinishing
Cross-References. Establishments primarily engaged in--</t>
  </si>
  <si>
    <t>Establishments primarily engaged in setting and installing ceramic tile, stone (interior only), and mosaic and/or mixing marble particles and cement to make terrazzo at the job site.  The work performed may include new work, additions, alterations, maintenance, and repairs.
Illustrative Examples:
Ceramic tile installation
Mosaic work
Mantel, marble or stone, installation
Tile (except resilient) laying and setting
Stone flooring installation
Marble, granite, and slate, interior installation contractors
Cross-References. Establishments primarily engaged in--</t>
  </si>
  <si>
    <t>Establishments primarily engaged in finish carpentry work.  The work performed may include new work, additions, alterations, maintenance, and repairs.
Illustrative Examples:
Built-in wood cabinets constructed on site
Molding or trim, wood or plastic, installation
Countertop, residential-type, installation
Paneling installation
Door and window frame construction
Prefabricated kitchen and bath cabinet, residential-type, installation
Garage door, residential-type, installation
Ship joinery contractors
Millwork installation
Window and door, residential-type, of any material, prefabricated, installation
Cross-References. Establishments primarily engaged in--</t>
  </si>
  <si>
    <t>Establishments primarily engaged in building finishing trade work (except drywall, plaster, and insulation work; painting and wall covering work; flooring work; tile and terrazzo work; and finish carpentry work).  The work performed may include new work, additions, alterations, maintenance, and repairs.
Illustrative Examples:
Bathtub refinishing, on-site
Fabricating metal cabinets or countertops on site
Closet organizer system installation
Modular furniture system attachment and installation
Concrete coating, glazing, or sealing
Trade show exhibit installation and dismantling
Countertop and cabinet, metal (except residential-type), installation
Waterproofing contractors
Drapery fixture (e.g., hardware, rods, tracks) installation
Window shade and blind installation
Cross-References. Establishments primarily engaged in--</t>
  </si>
  <si>
    <t>Establishments primarily engaged in site preparation activities, such as excavating and grading, demolition of buildings and other structures, and septic system installation.  Earthmoving and land clearing for all types of sites (e.g., building, nonbuilding, mining) is included in this industry.  Establishments primarily engaged in construction equipment rental with operator (except cranes) are also included.
Illustrative Examples:
Blasting, building demolition
Foundation digging (i.e., excavation)
Concrete breaking and cutting for demolition
Foundation drilling contractors
Cutting new rights of way
Grading construction sites
Demolition, building and structure
Line slashing or cutting (except maintenance)
Dewatering contractors
Septic system contractors
Dirt moving for construction
Trenching (except underwater)
Equipment rental (except crane), construction, with operator
Underground tank (except hazardous) removal
Excavating, earthmoving, or land clearing contractors
Wrecking, building or other structure
Cross-References. Establishments primarily engaged in--</t>
  </si>
  <si>
    <t>Establishments primarily engaged in specialized trades (except foundation, structure, and building exterior contractors; building equipment contractors; building finishing contractors; and site preparation contractors).  The specialty trade work performed includes new work, additions, alterations, maintenance, and repairs.
Illustrative Examples:
Billboard erection
Outdoor swimming pool construction
Cleaning building interiors during and immediately after construction
Paver, brick (e.g., driveway, patio, sidewalk), installation
Crane rental with operator
Paving, residential and commercial driveway and parking lot
Sandblasting building exteriors
Fence installation
Scaffold erecting and dismantling
Interlocking brick and block installation
Steeplejack work
Manufactured (mobile) home set up and tie-down work
Driveway paving or sealing
Cross-References. Establishments primarily engaged in--</t>
  </si>
  <si>
    <t>230301,233210,233262,2332A0</t>
  </si>
  <si>
    <t>5416A0</t>
  </si>
  <si>
    <t>2332C0</t>
  </si>
  <si>
    <t>233210,233230,233240,233262,2332A0,2332C0,2332D0,233411,233412,2334A0</t>
  </si>
  <si>
    <t>5419A0</t>
  </si>
  <si>
    <t>233411,233412,2334A0</t>
  </si>
  <si>
    <t>54151A</t>
  </si>
  <si>
    <t>55: Management of Companies and Enterprises</t>
  </si>
  <si>
    <t>2372: Land Subdivision</t>
  </si>
  <si>
    <t>5311: Lessors of Real Estate</t>
  </si>
  <si>
    <t>2381: Foundation, Structure, and Building Exterior Contractors</t>
  </si>
  <si>
    <t>2382: Building Equipment Contractors</t>
  </si>
  <si>
    <t>2383: Building Finishing Contractors</t>
  </si>
  <si>
    <t>2389: Other Specialty Trade Contractors</t>
  </si>
  <si>
    <t>Supply Chain Emission Factors without Margins
(kg CO2e/2022 USD)</t>
  </si>
  <si>
    <t>Supply Chain Emission Factors 
with Margins 
(kg CO2e/2022 USD)</t>
  </si>
  <si>
    <t>Category 1: Purchased Goods &amp; Services</t>
  </si>
  <si>
    <t>Travel arrangement and reservation</t>
  </si>
  <si>
    <t>This industry group comprises (1) Travel Agencies, (2) Tour Operators, and (3) Other Travel Arrangement and Reservation Services including:  (a) Convention and Visitors Bureaus, and (b) All Other Travel Arrangement and Reservation Services.</t>
  </si>
  <si>
    <t xml:space="preserve">Lessors of Residential Buildings and Dwellings </t>
  </si>
  <si>
    <t>Scenic and sightseeing transportation and support activities for transportation</t>
  </si>
  <si>
    <t>Oilseed and Grain Farming</t>
  </si>
  <si>
    <t>Vegetable and Melon Farming</t>
  </si>
  <si>
    <t>Fruit and Tree Nut Farming</t>
  </si>
  <si>
    <t>Greenhouse, Nursery, and Floriculture Production</t>
  </si>
  <si>
    <t>Other Crop Farming</t>
  </si>
  <si>
    <t>Cattle Ranching and Farming</t>
  </si>
  <si>
    <t>Poultry and Egg Production</t>
  </si>
  <si>
    <t>Other Animal Production</t>
  </si>
  <si>
    <t>Timber Tract Operations</t>
  </si>
  <si>
    <t>Support Activities for Crop Production</t>
  </si>
  <si>
    <t>Oil and Gas Extraction</t>
  </si>
  <si>
    <t>Coal Mining</t>
  </si>
  <si>
    <t>Metal Ore Mining</t>
  </si>
  <si>
    <t>Nonmetallic Mineral Mining and Quarrying</t>
  </si>
  <si>
    <t>Support Activities for Mining</t>
  </si>
  <si>
    <t>Natural Gas Distribution</t>
  </si>
  <si>
    <t>Water, Sewage and Other Systems</t>
  </si>
  <si>
    <t>Residential Building Construction</t>
  </si>
  <si>
    <t>Nonresidential Building Construction</t>
  </si>
  <si>
    <t>Utility System Construction</t>
  </si>
  <si>
    <t>Highway, Street, and Bridge Construction</t>
  </si>
  <si>
    <t>Animal Food Manufacturing</t>
  </si>
  <si>
    <t>Grain and Oilseed Milling</t>
  </si>
  <si>
    <t>Sugar and Confectionery Product Manufacturing</t>
  </si>
  <si>
    <t>Fruit and Vegetable Preserving and Specialty Food Manufacturing</t>
  </si>
  <si>
    <t>Dairy Product Manufacturing</t>
  </si>
  <si>
    <t>Animal Slaughtering and Processing</t>
  </si>
  <si>
    <t>Seafood Product Preparation and Packaging</t>
  </si>
  <si>
    <t>Bakeries and Tortilla Manufacturing</t>
  </si>
  <si>
    <t>Other Food Manufacturing</t>
  </si>
  <si>
    <t>Beverage Manufacturing</t>
  </si>
  <si>
    <t>Tobacco Manufacturing</t>
  </si>
  <si>
    <t>Fiber, Yarn, and Thread Mills</t>
  </si>
  <si>
    <t>Fabric Mills</t>
  </si>
  <si>
    <t>Textile and Fabric Finishing and Fabric Coating Mills</t>
  </si>
  <si>
    <t>Textile Furnishings Mills</t>
  </si>
  <si>
    <t>Other Textile Product Mills</t>
  </si>
  <si>
    <t>Apparel Knitting Mills</t>
  </si>
  <si>
    <t>Leather and Hide Tanning and Finishing</t>
  </si>
  <si>
    <t>Sawmills and Wood Preservation</t>
  </si>
  <si>
    <t>Veneer, Plywood, and Engineered Wood Product Manufacturing</t>
  </si>
  <si>
    <t>Other Wood Product Manufacturing</t>
  </si>
  <si>
    <t>Pulp, Paper, and Paperboard Mills</t>
  </si>
  <si>
    <t>Converted Paper Product Manufacturing</t>
  </si>
  <si>
    <t>Printing and Related Support Activities</t>
  </si>
  <si>
    <t>Petroleum and Coal Products Manufacturing</t>
  </si>
  <si>
    <t>Basic Chemical Manufacturing</t>
  </si>
  <si>
    <t>Resin, Synthetic Rubber, and Artificial and Synthetic Fibers and Filaments Manufacturing</t>
  </si>
  <si>
    <t>Pesticide, Fertilizer, and Other Agricultural Chemical Manufacturing</t>
  </si>
  <si>
    <t>Pharmaceutical and Medicine Manufacturing</t>
  </si>
  <si>
    <t>Paint, Coating, and Adhesive Manufacturing</t>
  </si>
  <si>
    <t>Soap, Cleaning Compound, and Toilet Preparation Manufacturing</t>
  </si>
  <si>
    <t>Other Chemical Product and Preparation Manufacturing</t>
  </si>
  <si>
    <t>Plastics Product Manufacturing</t>
  </si>
  <si>
    <t>Rubber Product Manufacturing</t>
  </si>
  <si>
    <t>Clay Product and Refractory Manufacturing</t>
  </si>
  <si>
    <t>Glass and Glass Product Manufacturing</t>
  </si>
  <si>
    <t>Cement and Concrete Product Manufacturing</t>
  </si>
  <si>
    <t>Lime and Gypsum Product Manufacturing</t>
  </si>
  <si>
    <t>Other Nonmetallic Mineral Product Manufacturing</t>
  </si>
  <si>
    <t>Iron and Steel Mills and Ferroalloy Manufacturing</t>
  </si>
  <si>
    <t>Steel Product Manufacturing from Purchased Steel</t>
  </si>
  <si>
    <t>Alumina and Aluminum Production and Processing</t>
  </si>
  <si>
    <t>Nonferrous Metal (except Aluminum) Production and Processing</t>
  </si>
  <si>
    <t>Foundries</t>
  </si>
  <si>
    <t>Forging and Stamping</t>
  </si>
  <si>
    <t>Cutlery and Handtool Manufacturing</t>
  </si>
  <si>
    <t>Architectural and Structural Metals Manufacturing</t>
  </si>
  <si>
    <t>Boiler, Tank, and Shipping Container Manufacturing</t>
  </si>
  <si>
    <t>Hardware Manufacturing</t>
  </si>
  <si>
    <t>Spring and Wire Product Manufacturing</t>
  </si>
  <si>
    <t>Machine Shops; Turned Product; and Screw, Nut, and Bolt Manufacturing</t>
  </si>
  <si>
    <t>Coating, Engraving, Heat Treating, and Allied Activities</t>
  </si>
  <si>
    <t>Other Fabricated Metal Product Manufacturing</t>
  </si>
  <si>
    <t>Agriculture, Construction, and Mining Machinery Manufacturing</t>
  </si>
  <si>
    <t>Industrial Machinery Manufacturing</t>
  </si>
  <si>
    <t>Commercial and Service Industry Machinery Manufacturing</t>
  </si>
  <si>
    <t>Ventilation, Heating, Air-Conditioning, and Commercial Refrigeration Equipment Manufacturing</t>
  </si>
  <si>
    <t>Metalworking Machinery Manufacturing</t>
  </si>
  <si>
    <t>Engine, Turbine, and Power Transmission Equipment Manufacturing</t>
  </si>
  <si>
    <t>Other General Purpose Machinery Manufacturing</t>
  </si>
  <si>
    <t>Computer and Peripheral Equipment Manufacturing</t>
  </si>
  <si>
    <t>Communications Equipment Manufacturing</t>
  </si>
  <si>
    <t>Audio and Video Equipment Manufacturing</t>
  </si>
  <si>
    <t>Semiconductor and Other Electronic Component Manufacturing</t>
  </si>
  <si>
    <t>Navigational, Measuring, Electromedical, and Control Instruments Manufacturing</t>
  </si>
  <si>
    <t>Manufacturing and Reproducing Magnetic and Optical Media</t>
  </si>
  <si>
    <t>Electric Lighting Equipment Manufacturing</t>
  </si>
  <si>
    <t>Household Appliance Manufacturing</t>
  </si>
  <si>
    <t>Electrical Equipment Manufacturing</t>
  </si>
  <si>
    <t>Other Electrical Equipment and Component Manufacturing</t>
  </si>
  <si>
    <t>Motor Vehicle Manufacturing</t>
  </si>
  <si>
    <t>Motor Vehicle Body and Trailer Manufacturing</t>
  </si>
  <si>
    <t>Motor Vehicle Parts Manufacturing</t>
  </si>
  <si>
    <t>Aerospace Product and Parts Manufacturing</t>
  </si>
  <si>
    <t>Railroad Rolling Stock Manufacturing</t>
  </si>
  <si>
    <t>Ship and Boat Building</t>
  </si>
  <si>
    <t>Other Transportation Equipment Manufacturing</t>
  </si>
  <si>
    <t>Household and Institutional Furniture and Kitchen Cabinet Manufacturing</t>
  </si>
  <si>
    <t>Office Furniture (including Fixtures) Manufacturing</t>
  </si>
  <si>
    <t>Other Furniture Related Product Manufacturing</t>
  </si>
  <si>
    <t>Medical Equipment and Supplies Manufacturing</t>
  </si>
  <si>
    <t>Other Miscellaneous Manufacturing</t>
  </si>
  <si>
    <t>Motor Vehicle and Motor Vehicle Parts and Supplies Merchant Wholesalers</t>
  </si>
  <si>
    <t>Professional and Commercial Equipment and Supplies Merchant Wholesalers</t>
  </si>
  <si>
    <t>Household Appliances and Electrical and Electronic Goods Merchant Wholesalers</t>
  </si>
  <si>
    <t>Machinery, Equipment, and Supplies Merchant Wholesalers</t>
  </si>
  <si>
    <t>Drugs and Druggists Sundries Merchant Wholesalers</t>
  </si>
  <si>
    <t>Grocery and Related Product Merchant Wholesalers</t>
  </si>
  <si>
    <t>Petroleum and Petroleum Products Merchant Wholesalers</t>
  </si>
  <si>
    <t>Wholesale Electronic Markets and Agents and Brokers</t>
  </si>
  <si>
    <t>Automobile Dealers</t>
  </si>
  <si>
    <t>Building Material and Supplies Dealers</t>
  </si>
  <si>
    <t>Grocery Stores</t>
  </si>
  <si>
    <t>Health and Personal Care Stores</t>
  </si>
  <si>
    <t>Gasoline Stations</t>
  </si>
  <si>
    <t>Clothing Stores</t>
  </si>
  <si>
    <t>General Merchandise Stores, including Warehouse Clubs and Supercenters</t>
  </si>
  <si>
    <t>Electronic Shopping and Mail-Order Houses</t>
  </si>
  <si>
    <t>Scheduled Air Transportation</t>
  </si>
  <si>
    <t>Rail Transportation</t>
  </si>
  <si>
    <t>Deep Sea, Coastal, and Great Lakes Water Transportation</t>
  </si>
  <si>
    <t>General Freight Trucking</t>
  </si>
  <si>
    <t>Other Transit and Ground Passenger Transportation</t>
  </si>
  <si>
    <t>Other Pipeline Transportation</t>
  </si>
  <si>
    <t>Postal Service</t>
  </si>
  <si>
    <t>Couriers and Express Delivery Services</t>
  </si>
  <si>
    <t>Warehousing and Storage</t>
  </si>
  <si>
    <t>Newspaper, Periodical, Book, and Directory Publishers</t>
  </si>
  <si>
    <t>Software Publishers</t>
  </si>
  <si>
    <t>Motion Picture and Video Industries</t>
  </si>
  <si>
    <t>Sound Recording Industries</t>
  </si>
  <si>
    <t>Radio and Television Broadcasting</t>
  </si>
  <si>
    <t>Cable and Other Subscription Programming</t>
  </si>
  <si>
    <t>Wired Telecommunications Carriers</t>
  </si>
  <si>
    <t>Wireless Telecommunications Carriers (except Satellite)</t>
  </si>
  <si>
    <t>Other Telecommunications</t>
  </si>
  <si>
    <t>Data Processing, Hosting, and Related Services</t>
  </si>
  <si>
    <t>Other Information Services</t>
  </si>
  <si>
    <t>Monetary Authorities-Central Bank</t>
  </si>
  <si>
    <t>Nondepository Credit Intermediation</t>
  </si>
  <si>
    <t>Securities and Commodity Contracts Intermediation and Brokerage</t>
  </si>
  <si>
    <t>Other Financial Investment Activities</t>
  </si>
  <si>
    <t>Insurance Carriers</t>
  </si>
  <si>
    <t>Agencies, Brokerages, and Other Insurance Related Activities</t>
  </si>
  <si>
    <t>Insurance and Employee Benefit Funds</t>
  </si>
  <si>
    <t>Automotive Equipment Rental and Leasing</t>
  </si>
  <si>
    <t>Consumer Goods Rental</t>
  </si>
  <si>
    <t>Commercial and Industrial Machinery and Equipment Rental and Leasing</t>
  </si>
  <si>
    <t>Lessors of Nonfinancial Intangible Assets (except Copyrighted Works)</t>
  </si>
  <si>
    <t>Legal Services</t>
  </si>
  <si>
    <t>Accounting, Tax Preparation, Bookkeeping, and Payroll Services</t>
  </si>
  <si>
    <t>Architectural, Engineering, and Related Services</t>
  </si>
  <si>
    <t>Specialized Design Services</t>
  </si>
  <si>
    <t>Computer Systems Design and Related Services</t>
  </si>
  <si>
    <t>Management, Scientific, and Technical Consulting Services</t>
  </si>
  <si>
    <t>Scientific Research and Development Services</t>
  </si>
  <si>
    <t>Advertising, Public Relations, and Related Services</t>
  </si>
  <si>
    <t>Other Professional, Scientific, and Technical Services</t>
  </si>
  <si>
    <t>Management of Companies and Enterprises</t>
  </si>
  <si>
    <t>Office Administrative Services</t>
  </si>
  <si>
    <t>Facilities Support Services</t>
  </si>
  <si>
    <t>Employment Services</t>
  </si>
  <si>
    <t>Business Support Services</t>
  </si>
  <si>
    <t>Travel Arrangement and Reservation Services</t>
  </si>
  <si>
    <t>Investigation and Security Services</t>
  </si>
  <si>
    <t>Services to Buildings and Dwellings</t>
  </si>
  <si>
    <t>Other Support Services</t>
  </si>
  <si>
    <t>Elementary and Secondary Schools</t>
  </si>
  <si>
    <t>Offices of Physicians</t>
  </si>
  <si>
    <t>Offices of Dentists</t>
  </si>
  <si>
    <t>Offices of Other Health Practitioners</t>
  </si>
  <si>
    <t>Outpatient Care Centers</t>
  </si>
  <si>
    <t>Special Food Services</t>
  </si>
  <si>
    <t>Automotive Repair and Maintenance</t>
  </si>
  <si>
    <t>Electronic and Precision Equipment Repair and Maintenance</t>
  </si>
  <si>
    <t>Supply Chain Emission Factors with Margins (kg CO2e/RYUSD)</t>
  </si>
  <si>
    <t>NAICS and title</t>
  </si>
  <si>
    <t>Title Only</t>
  </si>
  <si>
    <t>NAICS: Industry Name</t>
  </si>
  <si>
    <t xml:space="preserve">Industries in the Scenic and Sightseeing Transportation subsector utilize transportation equipment to provide recreation and entertainment. These activities have a production process distinct from passenger transportation carried out for the purpose of other types of for-hire transportation. This process does not emphasize efficient transportation; in fact, such activities often use obsolete vehicles, such as steam trains, to provide some extra ambience. The activity is local in nature, usually involving a same-day return to the point of departure.   The Scenic and Sightseeing Transportation subsector is separated into three industries based on the mode: land, water, and other.   Activities that are recreational in nature and involve participation by the customer, such as white-water rafting, are generally excluded from this subsector, unless they impose an impact on part of the transportation system. Charter boat fishing, for example, is included in the Scenic and Sightseeing Transportation, Water industry.  2) Industries in the Support Activities for Transportation subsector provide services which support transportation. These services may be provided to transportation carrierEstablishments or to the general public. This subsector includes a wide array ofEstablishments, including air traffic control services, marine cargo handling, and motor vehicle towing.   The Support Activities for Transportation subsector includes services to transportation but is separated by type of mode serviced. The Support Activities for Rail Transportation industry includes services to the rail industry (e.g., railroad switching and terminalEstablishments).   Ship repair and maintenance not done in a shipyard are included in Other Support Activities for Water Transportation. An example would be floating drydock services in a harbor.   Excluded from this subsector areEstablishments primarily engaged in providing factory conversion and overhaul of transportation equipment, which are classified in Subsector 336, Transportation Equipment Manufacturing. Also,Establishments primarily engaged in providing rental and leasing of transportation equipment without operator are classified in Subsector 532, Rental and Leasing Services. </t>
  </si>
  <si>
    <t>Calculated Share of Equity (percent)</t>
  </si>
  <si>
    <t>Total Revenue of Investee in reporting year</t>
  </si>
  <si>
    <r>
      <rPr>
        <b/>
        <i/>
        <sz val="10"/>
        <rFont val="Arial"/>
        <family val="2"/>
      </rPr>
      <t>Investee organization</t>
    </r>
    <r>
      <rPr>
        <sz val="10"/>
        <rFont val="Arial"/>
        <family val="2"/>
      </rPr>
      <t xml:space="preserve"> - for the user to track various investments by investee</t>
    </r>
  </si>
  <si>
    <t>Mixed Paper (general)</t>
  </si>
  <si>
    <t>Last Modified: January 15, 2025</t>
  </si>
  <si>
    <t>Mixed_Electronics</t>
  </si>
  <si>
    <t>2025 GHG Emission Factors Hub (xlsx)</t>
  </si>
  <si>
    <t>PR</t>
  </si>
  <si>
    <t>Puerto Rico</t>
  </si>
  <si>
    <t>kg CO2e per employee per mile</t>
  </si>
  <si>
    <t>Sum of WtT kg CO2e per unit</t>
  </si>
  <si>
    <t>Business travel- land</t>
  </si>
  <si>
    <t>passenger.km</t>
  </si>
  <si>
    <t>GWP dataset:</t>
  </si>
  <si>
    <t>Manually Calculated 
kg CO2e 
(per selected 
GWP dataset
 in cell Q2)</t>
  </si>
  <si>
    <t xml:space="preserve">US Department of Energy Alternative Fuels data center </t>
  </si>
  <si>
    <t>2023 Light-Duty Vehicle Registration Counts by State and Fuel Type</t>
  </si>
  <si>
    <t>US 2022</t>
  </si>
  <si>
    <t>US 2023</t>
  </si>
  <si>
    <t>Electric (EV)</t>
  </si>
  <si>
    <t>Plug-In Hybrid Electric (PHEV)</t>
  </si>
  <si>
    <t>Hybrid Electric (HEV)</t>
  </si>
  <si>
    <t>Ethanol/Flex (E85)</t>
  </si>
  <si>
    <t>Compressed Natural Gas (CNG)</t>
  </si>
  <si>
    <t>Hydrogen</t>
  </si>
  <si>
    <t>Unknown Fuel</t>
  </si>
  <si>
    <t>Emission Factor (kg CO2e/ passenger-mile)</t>
  </si>
  <si>
    <t>UK Government GHG Conversion Factors for Company Reporting</t>
  </si>
  <si>
    <t>Conversions</t>
  </si>
  <si>
    <t>Index</t>
  </si>
  <si>
    <t>Emissions source:</t>
  </si>
  <si>
    <t>None</t>
  </si>
  <si>
    <t xml:space="preserve">Next publication date: </t>
  </si>
  <si>
    <t>Factor set:</t>
  </si>
  <si>
    <t>Full set</t>
  </si>
  <si>
    <t>Scope:</t>
  </si>
  <si>
    <t>Version:</t>
  </si>
  <si>
    <t>The conversion values should be used to change units (such as those for energy, mass and volume) into alternative units. This is particularly useful where an organisation is collecting data in units of measure that do not have conversion factors that can be directly used to determine a carbon emission total.</t>
  </si>
  <si>
    <t>Using the abbreviation table</t>
  </si>
  <si>
    <t>The abbreviation table simply demonstrates common abbreviations that may be found within the carbon reporting arena and their long-hand form. This table is entirely for reference.</t>
  </si>
  <si>
    <t>Using the conversions table</t>
  </si>
  <si>
    <t>To convert from the units of measure in the columns on the left hand side of the table to the units of measure in the column headers in the same tables, simply multiple by the factor displayed where the two units meet on the table.</t>
  </si>
  <si>
    <t xml:space="preserve"> For example, to convert from kWh to GJ, multiply the kWh value by 0.0036.</t>
  </si>
  <si>
    <t>Symbol</t>
  </si>
  <si>
    <t>Number</t>
  </si>
  <si>
    <t>Standard form</t>
  </si>
  <si>
    <t>Abbreviation</t>
  </si>
  <si>
    <t>Kilo</t>
  </si>
  <si>
    <t>k</t>
  </si>
  <si>
    <r>
      <t xml:space="preserve">10 </t>
    </r>
    <r>
      <rPr>
        <vertAlign val="superscript"/>
        <sz val="11"/>
        <color indexed="56"/>
        <rFont val="Calibri"/>
        <family val="2"/>
      </rPr>
      <t>3</t>
    </r>
  </si>
  <si>
    <t>Mega</t>
  </si>
  <si>
    <t>M</t>
  </si>
  <si>
    <r>
      <t xml:space="preserve">10 </t>
    </r>
    <r>
      <rPr>
        <vertAlign val="superscript"/>
        <sz val="11"/>
        <color indexed="56"/>
        <rFont val="Calibri"/>
        <family val="2"/>
      </rPr>
      <t>6</t>
    </r>
  </si>
  <si>
    <t>Giga</t>
  </si>
  <si>
    <t>G</t>
  </si>
  <si>
    <r>
      <t xml:space="preserve">10 </t>
    </r>
    <r>
      <rPr>
        <vertAlign val="superscript"/>
        <sz val="11"/>
        <color indexed="56"/>
        <rFont val="Calibri"/>
        <family val="2"/>
      </rPr>
      <t>9</t>
    </r>
  </si>
  <si>
    <t>Tera</t>
  </si>
  <si>
    <t>T</t>
  </si>
  <si>
    <r>
      <t xml:space="preserve">10 </t>
    </r>
    <r>
      <rPr>
        <vertAlign val="superscript"/>
        <sz val="11"/>
        <color indexed="56"/>
        <rFont val="Calibri"/>
        <family val="2"/>
      </rPr>
      <t>12</t>
    </r>
  </si>
  <si>
    <t>Peta</t>
  </si>
  <si>
    <t>P</t>
  </si>
  <si>
    <r>
      <t xml:space="preserve">10 </t>
    </r>
    <r>
      <rPr>
        <vertAlign val="superscript"/>
        <sz val="11"/>
        <color indexed="56"/>
        <rFont val="Calibri"/>
        <family val="2"/>
      </rPr>
      <t>15</t>
    </r>
  </si>
  <si>
    <t>Energy</t>
  </si>
  <si>
    <t>Volume</t>
  </si>
  <si>
    <t>Weight/mass</t>
  </si>
  <si>
    <t>m</t>
  </si>
  <si>
    <t>ft</t>
  </si>
  <si>
    <t>nmi</t>
  </si>
  <si>
    <t>Length / distance</t>
  </si>
  <si>
    <t>Metre, m</t>
  </si>
  <si>
    <t>Feet, ft</t>
  </si>
  <si>
    <t>Miles, mi</t>
  </si>
  <si>
    <t>Kilometres, km</t>
  </si>
  <si>
    <t>Nautical miles, nmi or NM</t>
  </si>
  <si>
    <t>in</t>
  </si>
  <si>
    <t>cm</t>
  </si>
  <si>
    <t>yd</t>
  </si>
  <si>
    <t>Inch, in</t>
  </si>
  <si>
    <t>Centimetres, cm</t>
  </si>
  <si>
    <t>Yard, yd</t>
  </si>
  <si>
    <t>Number of days worked at home per year</t>
  </si>
  <si>
    <t>Annual water usage at facility A</t>
  </si>
  <si>
    <t>Table 1c. Water Treatment</t>
  </si>
  <si>
    <t>Note, it is recommended to quantify emissions from water treatment (prior to usage) and wastewater treatment (after usage) based on total volume used; see Table 1c in the "Category 1 and 2 (custom input)" tab and Table 2 in the "Category 5 Waste" tab, for water treatment and wastewater treatment, respectively.</t>
  </si>
  <si>
    <t>Cars (by market segment)</t>
  </si>
  <si>
    <t>Average:</t>
  </si>
  <si>
    <t>Note, percentages have been rebalanced after removing work-from-home. 
A different approach is used to estimate work-from-home emissions based on remote worker staff counts.</t>
  </si>
  <si>
    <t>Biodiesel + Diesel</t>
  </si>
  <si>
    <t>E85 + Gasoline</t>
  </si>
  <si>
    <t>https://www.gov.uk/government/collections/government-conversion-factors-for-company-reporting</t>
  </si>
  <si>
    <t xml:space="preserve">UK Government Conversion Factors for Company Reporting: Year 2024.  Department for Energy Security and Net Zero (DESNZ) 2024. </t>
  </si>
  <si>
    <t>https://www.epa.gov/climateleadership/ghg-emission-factors-hub</t>
  </si>
  <si>
    <r>
      <t xml:space="preserve">U.S. EPA (2024). United States Environmental Protection Agency, Center for Corporate Climate Leadership. </t>
    </r>
    <r>
      <rPr>
        <i/>
        <sz val="11"/>
        <color theme="1"/>
        <rFont val="Arial"/>
        <family val="2"/>
        <scheme val="major"/>
      </rPr>
      <t>Emission Factors for Greenhouse Gas Inventories</t>
    </r>
    <r>
      <rPr>
        <sz val="11"/>
        <color theme="1"/>
        <rFont val="Arial"/>
        <family val="2"/>
        <scheme val="major"/>
      </rPr>
      <t>.</t>
    </r>
  </si>
  <si>
    <t xml:space="preserve">Table 3 (Generation Emission): </t>
  </si>
  <si>
    <t>https://learn.streetlightdata.com/commutes-across-america</t>
  </si>
  <si>
    <t xml:space="preserve">U.S. Energy Information Administration (2018), Commercial Buildings Energy Consumption Survey (CBECS). </t>
  </si>
  <si>
    <t>https://www.eia.gov/consumption/commercial/data/2018/</t>
  </si>
  <si>
    <t>https://www.epa.gov/climateleadership/ghg-emission-factors-hub.</t>
  </si>
  <si>
    <t>U.S. EPA (2024). United States Environmental Protection Agency, Emissions &amp; Generation Resource Integrated Database (eGRID 2023).</t>
  </si>
  <si>
    <t>https://www.epa.gov/egrid</t>
  </si>
  <si>
    <t>Domestic, to/from UK (EPA "Short Haul"; &lt; 300 miles &amp; &lt; 483 km)</t>
  </si>
  <si>
    <t>With RF</t>
  </si>
  <si>
    <t>Long-haul, to/from UK (EPA "Long Haul"; &gt;= 2300 miles, &gt;=3701 km)</t>
  </si>
  <si>
    <t>Short-haul, to/from UK (EPA "Medium Haul";  &gt;= 300 miles, &lt; 2300 miles &amp; &gt;= 483 km, &lt; 3701 km)</t>
  </si>
  <si>
    <t>"Medium Haul";  &gt;= 300 miles, &lt; 2300 miles</t>
  </si>
  <si>
    <t>"Short Haul"; &lt; 300 miles</t>
  </si>
  <si>
    <t>"Long Haul"; &gt;= 2300 miles</t>
  </si>
  <si>
    <t>Large car</t>
  </si>
  <si>
    <t>Medium car</t>
  </si>
  <si>
    <t>Small car</t>
  </si>
  <si>
    <t>DESNZ order</t>
  </si>
  <si>
    <t>Emission Factor (kg CO2e/mile)</t>
  </si>
  <si>
    <t>WTT (kg CO2e/mile)</t>
  </si>
  <si>
    <t>TtW (kg CO2e/mile)</t>
  </si>
  <si>
    <t>Gaseous fuels</t>
  </si>
  <si>
    <t>LNG</t>
  </si>
  <si>
    <t>Natural gas (100% mineral blend)</t>
  </si>
  <si>
    <t>Other petroleum gas</t>
  </si>
  <si>
    <t>Liquid fuels</t>
  </si>
  <si>
    <t>Burning oil</t>
  </si>
  <si>
    <t>Gas oil</t>
  </si>
  <si>
    <t>Lubricants</t>
  </si>
  <si>
    <t>Naphtha</t>
  </si>
  <si>
    <t>Petrol (average biofuel blend)</t>
  </si>
  <si>
    <t>Petrol (100% mineral petrol)</t>
  </si>
  <si>
    <t>Processed fuel oils - residual oil</t>
  </si>
  <si>
    <t>Processed fuel oils - distillate oil</t>
  </si>
  <si>
    <t>Refinery miscellaneous</t>
  </si>
  <si>
    <t>Waste oils</t>
  </si>
  <si>
    <t>Marine gas oil</t>
  </si>
  <si>
    <t>Marine fuel oil</t>
  </si>
  <si>
    <t>Solid fuels</t>
  </si>
  <si>
    <t>Coal (industrial)</t>
  </si>
  <si>
    <t>Coal (electricity generation)</t>
  </si>
  <si>
    <t>Coal (domestic)</t>
  </si>
  <si>
    <t>Coking coal</t>
  </si>
  <si>
    <t>Petroleum coke</t>
  </si>
  <si>
    <t>Coal (electricity generation - home produced coal only)</t>
  </si>
  <si>
    <r>
      <t xml:space="preserve">StreetLight Data, Inc. 2018. </t>
    </r>
    <r>
      <rPr>
        <i/>
        <sz val="11"/>
        <color theme="1"/>
        <rFont val="Arial"/>
        <family val="2"/>
        <scheme val="major"/>
      </rPr>
      <t xml:space="preserve">Commutes Across America: Where Are The Longest Trips to Work? </t>
    </r>
  </si>
  <si>
    <t>State (or select "United States")</t>
  </si>
  <si>
    <t>Emissions from Electricity Usage (MTCO2e)</t>
  </si>
  <si>
    <t>Emissions from Natural Gas Usage (MTCO2e)</t>
  </si>
  <si>
    <t>Use these tables if electricity and natural gas usage data is available</t>
  </si>
  <si>
    <t>Heat and Steam</t>
  </si>
  <si>
    <t>District Heating</t>
  </si>
  <si>
    <t>Chilled water</t>
  </si>
  <si>
    <t>Table 1. Upstream emissions from purchased fuels, district heating, and chilled water</t>
  </si>
  <si>
    <t>WTT- heat and steam</t>
  </si>
  <si>
    <t>WTT- district heat &amp; steam distribution</t>
  </si>
  <si>
    <t>5% loss</t>
  </si>
  <si>
    <t>See heat and steam table below</t>
  </si>
  <si>
    <t>1 ton hour</t>
  </si>
  <si>
    <t>Just combined electric T&amp;D + upstream (so missing upstream of T&amp;D) and multiplied by .921 (see EIA 1065)</t>
  </si>
  <si>
    <t>Chilled Water</t>
  </si>
  <si>
    <t>If the country of stay is not in the dropdown list, use the Global Median option.</t>
  </si>
  <si>
    <t>From EPA CCCL (Jan 2025):</t>
  </si>
  <si>
    <t>Energy consumed (kWh)</t>
  </si>
  <si>
    <t>Average Car (gasoline)</t>
  </si>
  <si>
    <t>Average Car (unknown)</t>
  </si>
  <si>
    <r>
      <t xml:space="preserve">- </t>
    </r>
    <r>
      <rPr>
        <i/>
        <sz val="11"/>
        <color theme="1"/>
        <rFont val="Arial"/>
        <family val="2"/>
        <scheme val="minor"/>
      </rPr>
      <t>Scope 3 Summary</t>
    </r>
    <r>
      <rPr>
        <sz val="11"/>
        <color theme="1"/>
        <rFont val="Arial"/>
        <family val="2"/>
        <scheme val="minor"/>
      </rPr>
      <t xml:space="preserve"> tab: Added new "Percent of Total Scope 3" column F. Slight title refinement ("Summary of 2024 Scope 3 Emissions Results")</t>
    </r>
  </si>
  <si>
    <r>
      <t xml:space="preserve">- </t>
    </r>
    <r>
      <rPr>
        <i/>
        <sz val="11"/>
        <color theme="1"/>
        <rFont val="Arial"/>
        <family val="2"/>
        <scheme val="minor"/>
      </rPr>
      <t>Cat 1 (Goods &amp; Services)</t>
    </r>
    <r>
      <rPr>
        <sz val="11"/>
        <color theme="1"/>
        <rFont val="Arial"/>
        <family val="2"/>
        <scheme val="minor"/>
      </rPr>
      <t xml:space="preserve"> - Copy/pasted v1.3 processed table over existing v1.2 table. Updated inflation correction value.</t>
    </r>
  </si>
  <si>
    <t>» Added State-specific eGRID factors similar to Cat 9 tab and Cat 7 WFH (previously referencing national average EF).
» Created separate electricity and gas emissions columns</t>
  </si>
  <si>
    <r>
      <rPr>
        <i/>
        <sz val="11"/>
        <color theme="1"/>
        <rFont val="Arial"/>
        <family val="2"/>
        <scheme val="minor"/>
      </rPr>
      <t>- Cat 6 Business Trav. (spend)</t>
    </r>
    <r>
      <rPr>
        <sz val="11"/>
        <color theme="1"/>
        <rFont val="Arial"/>
        <family val="2"/>
        <scheme val="minor"/>
      </rPr>
      <t>: Transferred updated EFs from v1.3 USEEIO for the four Transportation and Warehousing categories. Put running total at the top of column E to be consistent with Cat 1, Cat 2, and Cat 4 tabs.</t>
    </r>
  </si>
  <si>
    <r>
      <rPr>
        <i/>
        <sz val="11"/>
        <color theme="1"/>
        <rFont val="Arial"/>
        <family val="2"/>
        <scheme val="minor"/>
      </rPr>
      <t>- Cat 6 Business Trav. (distance)</t>
    </r>
    <r>
      <rPr>
        <sz val="11"/>
        <color theme="1"/>
        <rFont val="Arial"/>
        <family val="2"/>
        <scheme val="minor"/>
      </rPr>
      <t>: Updated emission factors from UK DESNZ. Fuel type drop-down menu now includes all options present in UK DESNZ for "cars by market segment"</t>
    </r>
  </si>
  <si>
    <r>
      <rPr>
        <i/>
        <sz val="11"/>
        <color theme="1"/>
        <rFont val="Arial"/>
        <family val="2"/>
        <scheme val="minor"/>
      </rPr>
      <t>- Cat 7 Employee Commuting</t>
    </r>
    <r>
      <rPr>
        <sz val="11"/>
        <color theme="1"/>
        <rFont val="Arial"/>
        <family val="2"/>
        <scheme val="minor"/>
      </rPr>
      <t>: Updated info from Bureau of Transportation Statistics (BTS).</t>
    </r>
  </si>
  <si>
    <t xml:space="preserve">- Cat 8 &amp; Cat 13 Leased Assets: </t>
  </si>
  <si>
    <r>
      <rPr>
        <i/>
        <sz val="11"/>
        <color theme="1"/>
        <rFont val="Arial"/>
        <family val="2"/>
        <scheme val="minor"/>
      </rPr>
      <t>- Cat 9 (Patient Visits)</t>
    </r>
    <r>
      <rPr>
        <sz val="11"/>
        <color theme="1"/>
        <rFont val="Arial"/>
        <family val="2"/>
        <scheme val="minor"/>
      </rPr>
      <t>: Minor adjustments based on underlying emission factors; added upstream (well-to-tank) emissions for Telehealth visits</t>
    </r>
  </si>
  <si>
    <r>
      <rPr>
        <i/>
        <sz val="11"/>
        <color theme="1"/>
        <rFont val="Arial"/>
        <family val="2"/>
        <scheme val="minor"/>
      </rPr>
      <t>- Cat 11 Use of Sold Products</t>
    </r>
    <r>
      <rPr>
        <sz val="11"/>
        <color theme="1"/>
        <rFont val="Arial"/>
        <family val="2"/>
        <scheme val="minor"/>
      </rPr>
      <t>: No Updates Needed</t>
    </r>
  </si>
  <si>
    <r>
      <rPr>
        <i/>
        <sz val="11"/>
        <color theme="1"/>
        <rFont val="Arial"/>
        <family val="2"/>
        <scheme val="minor"/>
      </rPr>
      <t>- Cat 15 Investments</t>
    </r>
    <r>
      <rPr>
        <sz val="11"/>
        <color theme="1"/>
        <rFont val="Arial"/>
        <family val="2"/>
        <scheme val="minor"/>
      </rPr>
      <t>: Widened column C and referenced alphabetized table of Industry Names for drop-downs (v2.0.0 organized by NAICS code).</t>
    </r>
  </si>
  <si>
    <r>
      <rPr>
        <i/>
        <sz val="11"/>
        <color theme="1"/>
        <rFont val="Arial"/>
        <family val="2"/>
        <scheme val="minor"/>
      </rPr>
      <t>- Cat 15 descriptions</t>
    </r>
    <r>
      <rPr>
        <sz val="11"/>
        <color theme="1"/>
        <rFont val="Arial"/>
        <family val="2"/>
        <scheme val="minor"/>
      </rPr>
      <t>: updated to include only current list of 185 industries per 2024 v1.3 processed factors</t>
    </r>
  </si>
  <si>
    <r>
      <rPr>
        <i/>
        <sz val="11"/>
        <color theme="1"/>
        <rFont val="Arial"/>
        <family val="2"/>
        <scheme val="minor"/>
      </rPr>
      <t>- Cat 4 Upstream Trans &amp; Dist</t>
    </r>
    <r>
      <rPr>
        <sz val="11"/>
        <color theme="1"/>
        <rFont val="Arial"/>
        <family val="2"/>
        <scheme val="minor"/>
      </rPr>
      <t>: Transferred updated EFs from v1.3 USEEIO for the seven Transportation and Warehousing categories. Placed running total at the top of column E to be consistent with Cat 1 and Cat 2 tabs.</t>
    </r>
  </si>
  <si>
    <t>See below "Global Warming Potential Values"</t>
  </si>
  <si>
    <r>
      <t>Use top slicer primarily for all categories, as the resulting list is manageable to review. For "31-33: Manufacturing", 
the bottom slicer will be helpful
 (</t>
    </r>
    <r>
      <rPr>
        <b/>
        <sz val="13.5"/>
        <color theme="7"/>
        <rFont val="Arial"/>
        <family val="2"/>
        <scheme val="minor"/>
      </rPr>
      <t>see tab "using slicers" for additional guidance</t>
    </r>
    <r>
      <rPr>
        <b/>
        <sz val="13.5"/>
        <color rgb="FF0000FF"/>
        <rFont val="Arial"/>
        <family val="2"/>
        <scheme val="minor"/>
      </rPr>
      <t>)</t>
    </r>
  </si>
  <si>
    <t>MSW and Recycling</t>
  </si>
  <si>
    <t>Hospital ABC</t>
  </si>
  <si>
    <t>&lt;--- ENTER TOTAL EMISSIONS HERE IF CALCULATED ELSEWHERE</t>
  </si>
  <si>
    <t>Select the inventory year entered above. Note, inflation adjustment for a non-calendar fiscal year reporting period (e.g., April to March) can be accommodated based on month selection (see below under "Month").</t>
  </si>
  <si>
    <t>Spend-based Emissions Quantification: Inventory Year and Adjusting for Inflation</t>
  </si>
  <si>
    <t xml:space="preserve">
Note, this is only an example image of the CPI Inflation Calculator, users must visit website linked above.
</t>
  </si>
  <si>
    <t>Enter year and month information as described to the left, click "Calculate" and enter result above where indicated.</t>
  </si>
  <si>
    <r>
      <t xml:space="preserve">For a number of Scope 3 categories relevant to the healthcare industry, this tool employs the "spend-based method", as detailed in The GHG Protocol's </t>
    </r>
    <r>
      <rPr>
        <i/>
        <sz val="11"/>
        <rFont val="Arial"/>
        <family val="2"/>
        <scheme val="minor"/>
      </rPr>
      <t>Technical Guidance for Calculating Scope 3 Emissions</t>
    </r>
    <r>
      <rPr>
        <sz val="11"/>
        <rFont val="Arial"/>
        <family val="2"/>
        <scheme val="minor"/>
      </rPr>
      <t>.</t>
    </r>
  </si>
  <si>
    <t xml:space="preserve">&lt;--- ENTER TOTAL EMISSIONS HERE IF CALCULATED ELSEWHERE </t>
  </si>
  <si>
    <t>Enter the resulting value from the bls.gov site ("has the same buying power as") in cell I9 above where shown.</t>
  </si>
  <si>
    <r>
      <rPr>
        <b/>
        <sz val="11"/>
        <color rgb="FF002060"/>
        <rFont val="Arial"/>
        <family val="2"/>
        <scheme val="minor"/>
      </rPr>
      <t>WtT</t>
    </r>
    <r>
      <rPr>
        <sz val="11"/>
        <color rgb="FF002060"/>
        <rFont val="Arial"/>
        <family val="2"/>
        <scheme val="minor"/>
      </rPr>
      <t xml:space="preserve"> kg CO</t>
    </r>
    <r>
      <rPr>
        <vertAlign val="subscript"/>
        <sz val="11"/>
        <color indexed="56"/>
        <rFont val="Calibri"/>
        <family val="2"/>
      </rPr>
      <t>2</t>
    </r>
    <r>
      <rPr>
        <sz val="11"/>
        <color indexed="56"/>
        <rFont val="Calibri"/>
        <family val="2"/>
      </rPr>
      <t>e</t>
    </r>
    <r>
      <rPr>
        <sz val="11"/>
        <color rgb="FF002060"/>
        <rFont val="Arial"/>
        <family val="2"/>
        <scheme val="minor"/>
      </rPr>
      <t xml:space="preserve"> 
(based on AR5)</t>
    </r>
  </si>
  <si>
    <r>
      <t xml:space="preserve">kg CO2 per </t>
    </r>
    <r>
      <rPr>
        <b/>
        <sz val="12"/>
        <color theme="1"/>
        <rFont val="Arial"/>
        <family val="2"/>
        <scheme val="minor"/>
      </rPr>
      <t>mmBtu</t>
    </r>
  </si>
  <si>
    <r>
      <t xml:space="preserve">g CH4 per </t>
    </r>
    <r>
      <rPr>
        <b/>
        <sz val="12"/>
        <color theme="1"/>
        <rFont val="Arial"/>
        <family val="2"/>
        <scheme val="minor"/>
      </rPr>
      <t>mmBtu</t>
    </r>
  </si>
  <si>
    <r>
      <t xml:space="preserve">g N2O per </t>
    </r>
    <r>
      <rPr>
        <b/>
        <sz val="12"/>
        <color theme="1"/>
        <rFont val="Arial"/>
        <family val="2"/>
        <scheme val="minor"/>
      </rPr>
      <t>mmBtu</t>
    </r>
  </si>
  <si>
    <t xml:space="preserve">1 therm = </t>
  </si>
  <si>
    <t>cubic feet</t>
  </si>
  <si>
    <t xml:space="preserve">1 mmBtu = </t>
  </si>
  <si>
    <t>NOT USED</t>
  </si>
  <si>
    <t>Note, U.S. gas production also includes some biogas, so "Natural Gas" from DESNZ is used (i.e., not "100% mineral blend")</t>
  </si>
  <si>
    <t>kWh/sq ft</t>
  </si>
  <si>
    <r>
      <rPr>
        <b/>
        <sz val="11"/>
        <color theme="1"/>
        <rFont val="Arial"/>
        <family val="2"/>
        <scheme val="minor"/>
      </rPr>
      <t>Transit and ground passenger transportation:</t>
    </r>
    <r>
      <rPr>
        <sz val="11"/>
        <color theme="1"/>
        <rFont val="Arial"/>
        <family val="2"/>
        <scheme val="minor"/>
      </rPr>
      <t xml:space="preserve"> Industries in the Transit and Ground Passenger Transportation subsector include a variety of passenger transportation activities, such as urban transit systems; chartered bus, school bus, and interurban bus transportation; and taxis. These activities are distinguished based primarily on such production process factors as vehicle types, routes, and schedules. In this subsector, the principal splits identify scheduled transportation as separate from nonscheduled transportation. The scheduled transportation industry groups are Urban Transit Systems, Interurban and Rural Bus Transportation, and School and Employee Bus Transportation. The nonscheduled industry groups are the Charter Bus Industry and Taxi and Limousine Service. The Other Transit and Ground Passenger Transportation industry group includes both scheduled and nonscheduled transportation. Scenic and sightseeing ground transportation services are not included in this subsector but are included in Subsector 487, Scenic and Sightseeing Transportation. Sightseeing does not usually involve place-toplace transportation; the passenger's trip starts and ends at the same location.</t>
    </r>
  </si>
  <si>
    <t>Category Description</t>
  </si>
  <si>
    <t>Fuel oil #2</t>
  </si>
  <si>
    <t>Fuel Type (DESNZ)</t>
  </si>
  <si>
    <t>kg CO2e per unit1</t>
  </si>
  <si>
    <t>kg CO2e per Unit2</t>
  </si>
  <si>
    <t>Solid fuel</t>
  </si>
  <si>
    <t>WTT- biofuel</t>
  </si>
  <si>
    <t>Bioethanol</t>
  </si>
  <si>
    <t>Biodiesel ME</t>
  </si>
  <si>
    <t>Biomethane (compressed)</t>
  </si>
  <si>
    <t>Biodiesel ME (from used cooking oil)</t>
  </si>
  <si>
    <t>Biodiesel HVO</t>
  </si>
  <si>
    <t>Biopropane</t>
  </si>
  <si>
    <t>Development diesel</t>
  </si>
  <si>
    <t>Development petrol</t>
  </si>
  <si>
    <t>Off road biodiesel</t>
  </si>
  <si>
    <t>Biomethane (liquified)</t>
  </si>
  <si>
    <t>Methanol (bio)</t>
  </si>
  <si>
    <t>Avtur (renewable)</t>
  </si>
  <si>
    <t>WTT- biomass</t>
  </si>
  <si>
    <t>Wood logs</t>
  </si>
  <si>
    <t>Wood chips</t>
  </si>
  <si>
    <t>Wood pellets</t>
  </si>
  <si>
    <t>Grass/straw</t>
  </si>
  <si>
    <t>Biogas</t>
  </si>
  <si>
    <t>Landfill gas</t>
  </si>
  <si>
    <t xml:space="preserve">Well-to-tank (WTT) fuels conversion factors should be used to account for the upstream Scope 3 emissions associated with extraction, refining and transportation of the raw fuel sources to an organisation’s site (or asset), prior to combustion.   </t>
  </si>
  <si>
    <t>DESNZ Fuel</t>
  </si>
  <si>
    <t>NOTE: These tables will auto-populate based on the information provided in the "Scope 1 and 2 Data" tab.</t>
  </si>
  <si>
    <t>Fuel properties</t>
  </si>
  <si>
    <t>The fuel properties can be used to determine the typical calorific values/densities of most common fuels.</t>
  </si>
  <si>
    <t>Some cells refer to notes which can be found at the bottom of the worksheet</t>
  </si>
  <si>
    <t>Net CV</t>
  </si>
  <si>
    <t>Gross CV</t>
  </si>
  <si>
    <t>Density
[note 1]</t>
  </si>
  <si>
    <t>GJ/tonne</t>
  </si>
  <si>
    <r>
      <t>kg/m</t>
    </r>
    <r>
      <rPr>
        <vertAlign val="superscript"/>
        <sz val="11"/>
        <color indexed="56"/>
        <rFont val="Calibri"/>
        <family val="2"/>
      </rPr>
      <t>3</t>
    </r>
  </si>
  <si>
    <t>litres/tonne</t>
  </si>
  <si>
    <t>kWh/kg</t>
  </si>
  <si>
    <t>kWh/litre</t>
  </si>
  <si>
    <t>Commonly Used Fossil Fuels</t>
  </si>
  <si>
    <t>Aviation Spirit</t>
  </si>
  <si>
    <t>Aviation Turbine Fuel</t>
  </si>
  <si>
    <t>Burning Oil</t>
  </si>
  <si>
    <t>Coking Coal</t>
  </si>
  <si>
    <t>Fuel Oil</t>
  </si>
  <si>
    <t>Gas Oil</t>
  </si>
  <si>
    <t>Natural Gas</t>
  </si>
  <si>
    <t>Natural Gas (100% mineral blend)</t>
  </si>
  <si>
    <r>
      <t>kg/m</t>
    </r>
    <r>
      <rPr>
        <b/>
        <vertAlign val="superscript"/>
        <sz val="11"/>
        <color indexed="56"/>
        <rFont val="Calibri"/>
        <family val="2"/>
      </rPr>
      <t>3</t>
    </r>
  </si>
  <si>
    <t>Other fuels</t>
  </si>
  <si>
    <t>Biodiesel (ME)</t>
  </si>
  <si>
    <t>Biodiesel (BtL or HVO)</t>
  </si>
  <si>
    <t>BioETBE</t>
  </si>
  <si>
    <t xml:space="preserve">Biomethane </t>
  </si>
  <si>
    <t>Grasses/Straw</t>
  </si>
  <si>
    <t>Landfill Gas</t>
  </si>
  <si>
    <t>Wood Chips</t>
  </si>
  <si>
    <t>Wood Logs</t>
  </si>
  <si>
    <t>Wood Pellets</t>
  </si>
  <si>
    <t>Gases</t>
  </si>
  <si>
    <r>
      <t>Methane (CH</t>
    </r>
    <r>
      <rPr>
        <vertAlign val="subscript"/>
        <sz val="11"/>
        <color indexed="56"/>
        <rFont val="Arial"/>
        <family val="2"/>
      </rPr>
      <t>4</t>
    </r>
    <r>
      <rPr>
        <sz val="11"/>
        <color indexed="56"/>
        <rFont val="Arial"/>
        <family val="2"/>
      </rPr>
      <t>)</t>
    </r>
  </si>
  <si>
    <r>
      <t>Carbon Dioxide (CO</t>
    </r>
    <r>
      <rPr>
        <vertAlign val="subscript"/>
        <sz val="11"/>
        <color indexed="56"/>
        <rFont val="Arial"/>
        <family val="2"/>
      </rPr>
      <t>2</t>
    </r>
    <r>
      <rPr>
        <sz val="11"/>
        <color indexed="56"/>
        <rFont val="Arial"/>
        <family val="2"/>
      </rPr>
      <t>)</t>
    </r>
  </si>
  <si>
    <t xml:space="preserve">Note </t>
  </si>
  <si>
    <t>Note 1</t>
  </si>
  <si>
    <t>Units are referring to volume/mass, which is the inverse of density (known as Specific Volume).</t>
  </si>
  <si>
    <t>kg CO2e/liter</t>
  </si>
  <si>
    <t>District Heating and Chilled Water</t>
  </si>
  <si>
    <t>Final UoM</t>
  </si>
  <si>
    <t>denominator UoM</t>
  </si>
  <si>
    <t>Raw Values (DESNZ)</t>
  </si>
  <si>
    <t>Converted Values (for user-entered units)</t>
  </si>
  <si>
    <r>
      <t>kg CO2e/</t>
    </r>
    <r>
      <rPr>
        <sz val="11"/>
        <color rgb="FF0000FF"/>
        <rFont val="Arial"/>
        <family val="2"/>
        <scheme val="minor"/>
      </rPr>
      <t>kbtu</t>
    </r>
  </si>
  <si>
    <r>
      <t>kg CO2e/</t>
    </r>
    <r>
      <rPr>
        <sz val="11"/>
        <color rgb="FF0000FF"/>
        <rFont val="Arial"/>
        <family val="2"/>
        <scheme val="minor"/>
      </rPr>
      <t>liter</t>
    </r>
  </si>
  <si>
    <r>
      <t>kg CO2e/</t>
    </r>
    <r>
      <rPr>
        <sz val="11"/>
        <color rgb="FF0000FF"/>
        <rFont val="Arial"/>
        <family val="2"/>
        <scheme val="minor"/>
      </rPr>
      <t>kg</t>
    </r>
  </si>
  <si>
    <r>
      <t>kg CO2e/</t>
    </r>
    <r>
      <rPr>
        <sz val="11"/>
        <color rgb="FF0000FF"/>
        <rFont val="Arial"/>
        <family val="2"/>
        <scheme val="minor"/>
      </rPr>
      <t>m3</t>
    </r>
  </si>
  <si>
    <t>User-input Fuel Name</t>
  </si>
  <si>
    <t>1 kWh =</t>
  </si>
  <si>
    <t>For Natural Gas driven Chillers</t>
  </si>
  <si>
    <r>
      <t xml:space="preserve">- </t>
    </r>
    <r>
      <rPr>
        <i/>
        <sz val="11"/>
        <color theme="1"/>
        <rFont val="Arial"/>
        <family val="2"/>
        <scheme val="minor"/>
      </rPr>
      <t>Cat 2 (Capital Goods)</t>
    </r>
    <r>
      <rPr>
        <sz val="11"/>
        <color theme="1"/>
        <rFont val="Arial"/>
        <family val="2"/>
        <scheme val="minor"/>
      </rPr>
      <t xml:space="preserve"> - updates consistent with those noted for Cat 1 Goods &amp; Services, incorporating the USEEIO v1.3 database. </t>
    </r>
  </si>
  <si>
    <r>
      <t xml:space="preserve">- </t>
    </r>
    <r>
      <rPr>
        <i/>
        <sz val="11"/>
        <color theme="1"/>
        <rFont val="Arial"/>
        <family val="2"/>
        <scheme val="minor"/>
      </rPr>
      <t>Category 1 and 2 (custom input)</t>
    </r>
    <r>
      <rPr>
        <sz val="11"/>
        <color theme="1"/>
        <rFont val="Arial"/>
        <family val="2"/>
        <scheme val="minor"/>
      </rPr>
      <t xml:space="preserve"> - DESNZ water treatment added in Table 1c. Emission factor pull-down lookup was found to be corrupted, and was fixed.</t>
    </r>
  </si>
  <si>
    <r>
      <t xml:space="preserve">- </t>
    </r>
    <r>
      <rPr>
        <i/>
        <sz val="11"/>
        <color theme="1"/>
        <rFont val="Arial"/>
        <family val="2"/>
        <scheme val="minor"/>
      </rPr>
      <t>Cat 3 Fuel &amp; Energy</t>
    </r>
    <r>
      <rPr>
        <sz val="11"/>
        <color theme="1"/>
        <rFont val="Arial"/>
        <family val="2"/>
        <scheme val="minor"/>
      </rPr>
      <t xml:space="preserve"> - All entries auto-populate from </t>
    </r>
    <r>
      <rPr>
        <i/>
        <sz val="11"/>
        <color theme="1"/>
        <rFont val="Arial"/>
        <family val="2"/>
        <scheme val="minor"/>
      </rPr>
      <t>Scope 1 and 2 Data</t>
    </r>
    <r>
      <rPr>
        <sz val="11"/>
        <color theme="1"/>
        <rFont val="Arial"/>
        <family val="2"/>
        <scheme val="minor"/>
      </rPr>
      <t xml:space="preserve"> tab. User input no longer needed.</t>
    </r>
  </si>
  <si>
    <r>
      <rPr>
        <i/>
        <sz val="11"/>
        <color theme="1"/>
        <rFont val="Arial"/>
        <family val="2"/>
        <scheme val="minor"/>
      </rPr>
      <t>- References</t>
    </r>
    <r>
      <rPr>
        <sz val="11"/>
        <color theme="1"/>
        <rFont val="Arial"/>
        <family val="2"/>
        <scheme val="minor"/>
      </rPr>
      <t>: Updated citations to 2024; added reference to Global Warming Potential (GWP) values sourced from IPCCC Sixth Assessment Report.</t>
    </r>
  </si>
  <si>
    <t>Mass
(short ton)</t>
  </si>
  <si>
    <t>Mass
(metric tonnes)</t>
  </si>
  <si>
    <t>Autoclave</t>
  </si>
  <si>
    <r>
      <t xml:space="preserve">Table 1. Solid Waste - </t>
    </r>
    <r>
      <rPr>
        <b/>
        <i/>
        <sz val="14"/>
        <color rgb="FF0000FF"/>
        <rFont val="Arial"/>
        <family val="2"/>
        <scheme val="minor"/>
      </rPr>
      <t>mass in short tons</t>
    </r>
  </si>
  <si>
    <r>
      <t xml:space="preserve">Table 2. Wastewater Treatment - </t>
    </r>
    <r>
      <rPr>
        <b/>
        <i/>
        <sz val="14"/>
        <color rgb="FF0000FF"/>
        <rFont val="Arial"/>
        <family val="2"/>
        <scheme val="minor"/>
      </rPr>
      <t>volume in gallons</t>
    </r>
  </si>
  <si>
    <t>https://sustainability.wm.com/esg-hub/company/wm-healthcare-solutions/</t>
  </si>
  <si>
    <r>
      <rPr>
        <i/>
        <sz val="11"/>
        <color theme="1"/>
        <rFont val="Arial"/>
        <family val="2"/>
        <scheme val="minor"/>
      </rPr>
      <t>- Cat 5 Waste</t>
    </r>
    <r>
      <rPr>
        <sz val="11"/>
        <color theme="1"/>
        <rFont val="Arial"/>
        <family val="2"/>
        <scheme val="minor"/>
      </rPr>
      <t>: Table 1 - EPA CCCL Jan 2025 EFs updated (same as 2024 mid-year); new Table 2 - DESNZ wastewater treatment EF updated (for Table 2); new Tables 3a and 3b - quantification of medical/biological waste disposal/treatment
   via the spend-based and supplier-specific methods, respectively.</t>
    </r>
  </si>
  <si>
    <r>
      <t xml:space="preserve">- All Scope 3 categories now include emissions spanning the full life cycle of the fuels consumed in travel, or well-to-wheel (WtW), in accordance with GHG Protocol guidance. This includes well-to-tank (WtT) emissions resulting from fuel
   extraction, transportation, and refining up to the point of sale, </t>
    </r>
    <r>
      <rPr>
        <i/>
        <sz val="11"/>
        <color rgb="FF343A3C"/>
        <rFont val="Arial"/>
        <family val="2"/>
        <scheme val="minor"/>
      </rPr>
      <t>as well as</t>
    </r>
    <r>
      <rPr>
        <sz val="11"/>
        <color rgb="FF343A3C"/>
        <rFont val="Arial"/>
        <family val="2"/>
        <scheme val="minor"/>
      </rPr>
      <t xml:space="preserve"> tank-to-wheel (TtW) emissions resulting from direct combustion of the fuels to facilitate the given transportation, power, or heating activities.</t>
    </r>
  </si>
  <si>
    <t>» Spend-based factors already include this component, updates now incorporate WTT for non-spend calculations available in Category 6, 7, 8, 9, and 13.</t>
  </si>
  <si>
    <r>
      <t xml:space="preserve">- </t>
    </r>
    <r>
      <rPr>
        <i/>
        <sz val="11"/>
        <color theme="1"/>
        <rFont val="Arial"/>
        <family val="2"/>
        <scheme val="minor"/>
      </rPr>
      <t>Inventory Settings</t>
    </r>
    <r>
      <rPr>
        <sz val="11"/>
        <color theme="1"/>
        <rFont val="Arial"/>
        <family val="2"/>
        <scheme val="minor"/>
      </rPr>
      <t xml:space="preserve"> tab changed to </t>
    </r>
    <r>
      <rPr>
        <i/>
        <sz val="11"/>
        <color theme="1"/>
        <rFont val="Arial"/>
        <family val="2"/>
        <scheme val="minor"/>
      </rPr>
      <t>Reporting Year &amp; Inlfation Adj.</t>
    </r>
    <r>
      <rPr>
        <sz val="11"/>
        <color theme="1"/>
        <rFont val="Arial"/>
        <family val="2"/>
        <scheme val="minor"/>
      </rPr>
      <t xml:space="preserve">, updated to reflect USEEIO v1.3 based on USD 2022 (prior version was based on USD 2021). Moved reference to AR6 GWPs to the </t>
    </r>
    <r>
      <rPr>
        <i/>
        <sz val="11"/>
        <color theme="1"/>
        <rFont val="Arial"/>
        <family val="2"/>
        <scheme val="minor"/>
      </rPr>
      <t>References</t>
    </r>
    <r>
      <rPr>
        <sz val="11"/>
        <color theme="1"/>
        <rFont val="Arial"/>
        <family val="2"/>
        <scheme val="minor"/>
      </rPr>
      <t xml:space="preserve"> tab.</t>
    </r>
  </si>
  <si>
    <t>April 2025</t>
  </si>
  <si>
    <t>Category 7 - Employee Commuting: Custom emissions - if travel mode is known</t>
  </si>
  <si>
    <t>Under Transportation Mode, for "Cars by market segment" selection, see table to the right for descriptions to choose from in the "if car, vehicle type" column</t>
  </si>
  <si>
    <t>drop-down options will appear once Haul length category is selected</t>
  </si>
  <si>
    <t>Custom Emissions Inputs - Categories 4, 5, 6, 7, 9, and 15</t>
  </si>
  <si>
    <t>Example - amulence service</t>
  </si>
  <si>
    <t>Ambulance service annual emissions allocated to reporting organization</t>
  </si>
  <si>
    <t>Air Transport</t>
  </si>
  <si>
    <t>Total
spend ($)</t>
  </si>
  <si>
    <r>
      <t xml:space="preserve">Category 9 - Dowstream Transportation - Patient Mobility via Ambulance or Air Transport - </t>
    </r>
    <r>
      <rPr>
        <b/>
        <i/>
        <sz val="11"/>
        <color rgb="FF0000FF"/>
        <rFont val="Arial"/>
        <family val="2"/>
        <scheme val="minor"/>
      </rPr>
      <t>spend totals</t>
    </r>
  </si>
  <si>
    <t>Use this section if you have received total spend data for these services.</t>
  </si>
  <si>
    <r>
      <t xml:space="preserve">Category 9 - Dowstream Transportation - Patient Mobility via Ambulance or Air Transport - </t>
    </r>
    <r>
      <rPr>
        <b/>
        <i/>
        <sz val="11"/>
        <color rgb="FF0000FF"/>
        <rFont val="Arial"/>
        <family val="2"/>
        <scheme val="minor"/>
      </rPr>
      <t>vendor emissions data</t>
    </r>
  </si>
  <si>
    <r>
      <t xml:space="preserve">- </t>
    </r>
    <r>
      <rPr>
        <i/>
        <sz val="11"/>
        <color theme="1"/>
        <rFont val="Arial"/>
        <family val="2"/>
        <scheme val="minor"/>
      </rPr>
      <t>Custom Emissions Inputs - other</t>
    </r>
    <r>
      <rPr>
        <sz val="11"/>
        <color theme="1"/>
        <rFont val="Arial"/>
        <family val="2"/>
        <scheme val="minor"/>
      </rPr>
      <t>: New Category 9 supplier-specific and spend-based tables provided to track emissions from patient mobility via ambulance or air transport.</t>
    </r>
  </si>
  <si>
    <r>
      <t xml:space="preserve">- Reporting Year &amp; Inflation Adj. tab updated to reflect </t>
    </r>
    <r>
      <rPr>
        <i/>
        <sz val="11"/>
        <color theme="1"/>
        <rFont val="Arial"/>
        <family val="2"/>
        <scheme val="minor"/>
      </rPr>
      <t>SupplyChainGHGEmissionFactorsv1.4.0.xlsx</t>
    </r>
    <r>
      <rPr>
        <sz val="11"/>
        <color theme="1"/>
        <rFont val="Arial"/>
        <family val="2"/>
        <scheme val="minor"/>
      </rPr>
      <t xml:space="preserve"> based on USD 2024.</t>
    </r>
  </si>
  <si>
    <r>
      <t xml:space="preserve">Spend-based emission factors are sourced from the </t>
    </r>
    <r>
      <rPr>
        <i/>
        <sz val="11"/>
        <rFont val="Arial"/>
        <family val="2"/>
        <scheme val="minor"/>
      </rPr>
      <t xml:space="preserve">Supply Chain Greenhouse Gas Emission Factors for U.S. Commodities </t>
    </r>
    <r>
      <rPr>
        <sz val="11"/>
        <rFont val="Arial"/>
        <family val="2"/>
        <scheme val="minor"/>
      </rPr>
      <t xml:space="preserve">database, based on year 2024 purchaser price data. </t>
    </r>
  </si>
  <si>
    <t xml:space="preserve">This resource was previously maintained by US EPA, and is now maintained by Cornerstone Sustainability Data Initiative (https://cornerstonedata.org). </t>
  </si>
  <si>
    <r>
      <rPr>
        <b/>
        <sz val="20"/>
        <color rgb="FFFF0000"/>
        <rFont val="Arial"/>
        <family val="2"/>
      </rPr>
      <t>←</t>
    </r>
    <r>
      <rPr>
        <b/>
        <i/>
        <sz val="11"/>
        <color rgb="FFFF0000"/>
        <rFont val="Arial"/>
        <family val="2"/>
        <scheme val="minor"/>
      </rPr>
      <t xml:space="preserve"> Enter inventory year here</t>
    </r>
  </si>
  <si>
    <r>
      <rPr>
        <b/>
        <i/>
        <sz val="20"/>
        <color rgb="FFFF0000"/>
        <rFont val="Arial"/>
        <family val="2"/>
        <scheme val="minor"/>
      </rPr>
      <t xml:space="preserve">← </t>
    </r>
    <r>
      <rPr>
        <b/>
        <i/>
        <sz val="11"/>
        <color rgb="FFFF0000"/>
        <rFont val="Arial"/>
        <family val="2"/>
        <scheme val="minor"/>
      </rPr>
      <t xml:space="preserve">Enter value from CPI Inflation Calculator here </t>
    </r>
  </si>
  <si>
    <t>Inventory Year:</t>
  </si>
  <si>
    <t>Inflation Correction (relative to 2024):</t>
  </si>
  <si>
    <t>Users can adjust for inflation (compared to 2024) by using the U.S. Bureau of Labor Statistics Consumer Price Index (CPI) Inflation Calculator found at:</t>
  </si>
  <si>
    <t xml:space="preserve">This tab facilitates the inflation adjustment from 2024 USD to 2025 USD. </t>
  </si>
  <si>
    <t xml:space="preserve">The spend-based factors referenced above were released in 2025 and are most appropriate for quantifying emissions from 2024 activities and thereafter. </t>
  </si>
  <si>
    <t>If emissions from 2024 activities are being quantified, no inflation adjustment is needed, and a value of "1" can be entered in cell F9.</t>
  </si>
  <si>
    <t>Converting from 2024 USD:</t>
  </si>
  <si>
    <t>For organization's where fiscal year aligns with the calendar year, selecting June or July is recommended, as these months should be representative of the average inflation over the course of the calendar year. For organization's on a non-calendar (e.g., "fiscal year") reporting period, it is recommended to pick the halfway point of that period (for both 2024 and 2025).</t>
  </si>
  <si>
    <t>- Fixed calculation error for Category 3 upstream natural gas emissions</t>
  </si>
  <si>
    <t>kgCO2</t>
  </si>
  <si>
    <t>Source: DESNZ 2025, WTT - fuels and WTT - Heat and Steam. Chilled water based on IEA electric upstream Efs</t>
  </si>
  <si>
    <t>IEA 2025</t>
  </si>
  <si>
    <t>Source: DESNZ 2025, WTT -Heat and Steam</t>
  </si>
  <si>
    <t>Water and Wastewater (from DESNZ 2025)</t>
  </si>
  <si>
    <t>Hotel emissions (kg CO2e per night)
DESNZ 2025</t>
  </si>
  <si>
    <r>
      <t xml:space="preserve">USEEIO (v1.4; 2025) Category </t>
    </r>
    <r>
      <rPr>
        <b/>
        <i/>
        <sz val="11"/>
        <color theme="1"/>
        <rFont val="Arial"/>
        <family val="2"/>
        <scheme val="minor"/>
      </rPr>
      <t>Ambulatory Services and Air Transport - for Category 9</t>
    </r>
  </si>
  <si>
    <t>Supply Chain Emission Factors without Margins
(kg CO2e/2024 USD)</t>
  </si>
  <si>
    <t>Supply Chain Emission Factors 
with Margins 
(kg CO2e/2024 USD)</t>
  </si>
  <si>
    <t>Supply Chain Emission Factors
(kg CO2e/2024 USD)</t>
  </si>
  <si>
    <t>US 2024</t>
  </si>
  <si>
    <r>
      <t xml:space="preserve">Pasted Pivots from DESNZ </t>
    </r>
    <r>
      <rPr>
        <b/>
        <i/>
        <sz val="11"/>
        <color rgb="FF0000FF"/>
        <rFont val="Arial"/>
        <family val="2"/>
        <scheme val="minor"/>
      </rPr>
      <t>2025</t>
    </r>
    <r>
      <rPr>
        <b/>
        <i/>
        <sz val="11"/>
        <color theme="1"/>
        <rFont val="Arial"/>
        <family val="2"/>
        <scheme val="minor"/>
      </rPr>
      <t xml:space="preserve"> processed flat file</t>
    </r>
  </si>
  <si>
    <r>
      <t>eGRID202</t>
    </r>
    <r>
      <rPr>
        <b/>
        <sz val="11"/>
        <color rgb="FF0000FF"/>
        <rFont val="Calibri"/>
        <family val="2"/>
      </rPr>
      <t>4</t>
    </r>
  </si>
  <si>
    <t>Data Year</t>
  </si>
  <si>
    <t>State abbreviation</t>
  </si>
  <si>
    <t>YEAR</t>
  </si>
  <si>
    <t>PSTATABB</t>
  </si>
  <si>
    <t>https://zenodo.org/records/18968658</t>
  </si>
  <si>
    <t>https://zenodo.org/records/18968658/files/egrid2024_data_metric.xlsx?download=1</t>
  </si>
  <si>
    <t>egrid2024_data_metric.xlsx</t>
  </si>
  <si>
    <t>Tab 'ST24'</t>
  </si>
  <si>
    <t>https://cornerstonedata.org/blog/egrid2024</t>
  </si>
  <si>
    <t>State annual CO2 total output emission rate (kg/MWh)</t>
  </si>
  <si>
    <t>STCO2RTA</t>
  </si>
  <si>
    <t>State annual CH4 total output emission rate (kg/MWh)</t>
  </si>
  <si>
    <t>STCH4RTA</t>
  </si>
  <si>
    <t>State annual N2O total output emission rate (kg/MWh)</t>
  </si>
  <si>
    <t>STN2ORTA</t>
  </si>
  <si>
    <t>State annual CO2 equivalent total output emission rate (kg/MWh)</t>
  </si>
  <si>
    <t>STC2ERTA</t>
  </si>
  <si>
    <t>STATE</t>
  </si>
  <si>
    <t>Adjustment for T&amp;D losses induced emissions 2025 ed (2023 data)</t>
  </si>
  <si>
    <t>Note, "Petrol" changed to "Gasoline" in column G (so dropdown lists in Cat 6 (distance) reference gasoline</t>
  </si>
  <si>
    <t>kg CO2e/
night</t>
  </si>
  <si>
    <t>Emission Factor
 (kg CO2e/night)</t>
  </si>
  <si>
    <r>
      <t xml:space="preserve">Water supply 
</t>
    </r>
    <r>
      <rPr>
        <b/>
        <sz val="11"/>
        <color rgb="FF0000FF"/>
        <rFont val="Arial"/>
        <family val="2"/>
        <scheme val="minor"/>
      </rPr>
      <t>(include in Category 1)</t>
    </r>
  </si>
  <si>
    <r>
      <t>Water treatment</t>
    </r>
    <r>
      <rPr>
        <b/>
        <sz val="11"/>
        <color rgb="FF0000FF"/>
        <rFont val="Arial"/>
        <family val="2"/>
        <scheme val="minor"/>
      </rPr>
      <t xml:space="preserve"> 
(include in Category 5)</t>
    </r>
  </si>
  <si>
    <t>Major home appliances</t>
  </si>
  <si>
    <t>Pumps and pumping equipment</t>
  </si>
  <si>
    <t>Source: USEEIO Industry Factors v 1.4</t>
  </si>
  <si>
    <t>Investee’s percent of revenue in named sector in reporting year</t>
  </si>
  <si>
    <r>
      <t>Investee’s percent of revenue in sector in reporting year</t>
    </r>
    <r>
      <rPr>
        <sz val="10"/>
        <rFont val="Arial"/>
        <family val="2"/>
      </rPr>
      <t xml:space="preserve"> - this relates to how much of the company's business is attributed to the sector for which emission calculations are being performed. If a company operates in multiple sectors, it's advisable to list each sector separately and the percentage of revenue they allocate to each sector.</t>
    </r>
  </si>
  <si>
    <t>CO2e (kg/MWh) - using user-selected GWPs</t>
  </si>
  <si>
    <t>CO2e (MT/kWh) - using user-selected GWPs</t>
  </si>
  <si>
    <t>Average of DESNZ "Average Car" and "Dual Purpose 4 x 4" weighted by fuel-type distribution (see "DESNZ Cat 6 &amp; 7" tab). Includes WTT + TTW</t>
  </si>
  <si>
    <t>Using an average of "Average local bus" and "Light rail and tram" per km. Includes WTT + TTW</t>
  </si>
  <si>
    <t>Assuming average of "regular taxi" by passenger km and average motorbike per km. Includes WTT + TTW</t>
  </si>
  <si>
    <r>
      <t>Bureau of Transportation Statistics Commute Mode data by percent by state (202</t>
    </r>
    <r>
      <rPr>
        <b/>
        <sz val="16"/>
        <rFont val="Arial"/>
        <family val="2"/>
        <scheme val="minor"/>
      </rPr>
      <t>4</t>
    </r>
    <r>
      <rPr>
        <b/>
        <sz val="16"/>
        <color theme="1"/>
        <rFont val="Arial"/>
        <family val="2"/>
        <scheme val="minor"/>
      </rPr>
      <t xml:space="preserve">) </t>
    </r>
  </si>
  <si>
    <t>Incineration</t>
  </si>
  <si>
    <t>RMW treated offsite</t>
  </si>
  <si>
    <t>MTCO2e/MT of treated waste</t>
  </si>
  <si>
    <t>Stericycle</t>
  </si>
  <si>
    <t>kgCO2e/kg of hazardous waste</t>
  </si>
  <si>
    <t>hazardous waste incineration</t>
  </si>
  <si>
    <t>EcoInvent</t>
  </si>
  <si>
    <t>Hazardous waste collection treatment and disposal</t>
  </si>
  <si>
    <t>Solid waste landfilling</t>
  </si>
  <si>
    <t>Solid waste combustors and incinerators</t>
  </si>
  <si>
    <t>Other waste collection and treatment services</t>
  </si>
  <si>
    <t>Supply Chain Emission Factors with Margins 
(kg CO2e/2024 USD)</t>
  </si>
  <si>
    <t>Regulated medical waste (Cat 5 table 4a)</t>
  </si>
  <si>
    <r>
      <t xml:space="preserve">USEEIO (v1.4; 2025) Category </t>
    </r>
    <r>
      <rPr>
        <b/>
        <i/>
        <sz val="11"/>
        <color theme="1"/>
        <rFont val="Arial"/>
        <family val="2"/>
        <scheme val="minor"/>
      </rPr>
      <t>Waste Management and Remediaion - for Category 5 table 3</t>
    </r>
  </si>
  <si>
    <t>kg CO2e/kg mater</t>
  </si>
  <si>
    <t>Cleveland-to-Lake County Solid Waste Facility</t>
  </si>
  <si>
    <t>Item Description (optional)
(e.g., Origin-Destination)</t>
  </si>
  <si>
    <t>Notes on Tables 4a and 4b below:</t>
  </si>
  <si>
    <r>
      <t xml:space="preserve">Table 3. Off-Site Regulated Medical Waste (RMW) Autoclave or Incineration - </t>
    </r>
    <r>
      <rPr>
        <b/>
        <i/>
        <sz val="14"/>
        <color rgb="FF0000FF"/>
        <rFont val="Arial"/>
        <family val="2"/>
        <scheme val="minor"/>
      </rPr>
      <t>mass-based method (in metric tonnes)</t>
    </r>
  </si>
  <si>
    <t>Regulated Medical Waste</t>
  </si>
  <si>
    <t>General Waste, Recycling, and Water Usage (non-regulated)</t>
  </si>
  <si>
    <t>Off-Site Post-Treatment Disposal at MSW landfill permitted to accept treated RMW</t>
  </si>
  <si>
    <t>This sector is disaggregated from BEA 562000:Waste management and remediation services. This U.S. industry comprises establishments primarily engaged in (1) operating landfills for the disposal of nonhazardous solid waste or (2) the combined activity of collecting and/or hauling nonhazardous waste materials within a local area and operating landfills for the disposal of nonhazardous solid waste. These establishments may produce byproducts such as methane.</t>
  </si>
  <si>
    <t>This sector is disaggregated from BEA '562000:Waste management and remediation services'. The Hazardous Waste Collection, Treatment, and Disposal industry comprises establishments primarily engaged in (1)  collecting and/or hauling hazardous waste within a local area and/or operating hazardous waste transfer stations. Hazardous waste collection establishments may be responsible for the identification treatment packaging and labeling of waste for the purposes of transport, or (2) operating treatment and/or disposal facilities for hazardous waste or the combined activity of collecting and/or hauling of hazardous waste materials within a local area and operating treatment or disposal facilities for hazardous waste.</t>
  </si>
  <si>
    <t>This sector is disaggregated from BEA '562000:Waste management and remediation services'. The Other Waste Collection and Treatment industry comprises establishments primarily engaged in (1) collecting and/or hauling waste (except nonhazardous solid waste and hazardous waste) within a local area, including brush or rubble removal services, (2) operating nonhazardous waste treatment and disposal facilities (except landfills combustors incinerators and sewer systems or sewage treatment facilities), including compost dumps, (3) pumping (i.e. cleaning) septic tanks and cesspools and/or renting and/or servicing portable toilets, or (4) all other waste management services not already specified.</t>
  </si>
  <si>
    <t>This sector is disaggregated from BEA 562000:Waste management and remediation services. This U.S. industry comprises establishments primarily engaged in operating combustors and incinerators for the disposal of nonhazardous solid waste. These establishments may produce byproducts such as electricity and steam.</t>
  </si>
  <si>
    <t>Post-treatment mass of
Regulated Medical Waste (RMW) 
shipped to landfill (short tons)</t>
  </si>
  <si>
    <r>
      <t xml:space="preserve">1. These tables should be used to quantify emissions related to final off-site transportation and disposal of RMW </t>
    </r>
    <r>
      <rPr>
        <b/>
        <i/>
        <u/>
        <sz val="14"/>
        <color rgb="FFFF0000"/>
        <rFont val="Arial"/>
        <family val="2"/>
        <scheme val="minor"/>
      </rPr>
      <t>after</t>
    </r>
    <r>
      <rPr>
        <b/>
        <sz val="14"/>
        <color rgb="FFFF0000"/>
        <rFont val="Arial"/>
        <family val="2"/>
        <scheme val="minor"/>
      </rPr>
      <t xml:space="preserve"> on-site treatment via approved methods (e.g., autoclave, ozone, chemical disinfection, microwave tratment, etc.)</t>
    </r>
  </si>
  <si>
    <t>2. Table 4a quantifies emissions based on the mass of post-treated RMW and is recommended. In the event mass information is unavailable, Table 4b can be used to quantify emissions by monetary spend with the landfill for disposal.</t>
  </si>
  <si>
    <r>
      <t xml:space="preserve">Table 4b. Off-Site Disposal of Regulated Medical Waste (RMW) following On-Site Treatment  ̶  </t>
    </r>
    <r>
      <rPr>
        <b/>
        <i/>
        <sz val="14"/>
        <color rgb="FF0000FF"/>
        <rFont val="Arial"/>
        <family val="2"/>
        <scheme val="minor"/>
      </rPr>
      <t>spend-based method</t>
    </r>
    <r>
      <rPr>
        <b/>
        <i/>
        <sz val="14"/>
        <color theme="1"/>
        <rFont val="Arial"/>
        <family val="2"/>
        <scheme val="minor"/>
      </rPr>
      <t xml:space="preserve"> </t>
    </r>
    <r>
      <rPr>
        <b/>
        <i/>
        <sz val="14"/>
        <color rgb="FFFF0000"/>
        <rFont val="Arial"/>
        <family val="2"/>
        <scheme val="minor"/>
      </rPr>
      <t>(use only if input for Table 4a (mass of waste disposed) is unavailable)</t>
    </r>
  </si>
  <si>
    <t>RMW landfiling - facility A</t>
  </si>
  <si>
    <r>
      <rPr>
        <u/>
        <sz val="11"/>
        <color theme="1"/>
        <rFont val="Arial"/>
        <family val="2"/>
        <scheme val="minor"/>
      </rPr>
      <t>Note</t>
    </r>
    <r>
      <rPr>
        <sz val="11"/>
        <color theme="1"/>
        <rFont val="Arial"/>
        <family val="2"/>
        <scheme val="minor"/>
      </rPr>
      <t>: Emissions in Table 4a are quantified based on US EPA's emission factor for "Mixed MSW" landfilling (see 'References' tab for full citation). This is considered to be a reasonable proxy for treated RMW.</t>
    </r>
  </si>
  <si>
    <t xml:space="preserve">Certain elements of RMW landfilling-related activities are likely to emit more CO2e compared to EPA’s “Mixed MSW” factor, due to additional material handling requirements for RMW at at an MSW landfill. </t>
  </si>
  <si>
    <t>However, RMW is expected to produce less methane compared to typical MSW, due to MSW's expected higher organic content from putrescible food waste, and RMW's higher inert material content (e.g., sharps, plastics, textiles, etc).</t>
  </si>
  <si>
    <t>Off-Site Treatment/Disposal via Autoclave or Incineration</t>
  </si>
  <si>
    <t>Waste disposal/
treatment method
(select from drop-down)</t>
  </si>
  <si>
    <t>not relevant for healthcare</t>
  </si>
  <si>
    <t>Fuels</t>
  </si>
  <si>
    <t>Bioenergy</t>
  </si>
  <si>
    <t>Biofuel</t>
  </si>
  <si>
    <t>Biodiesel ME (from tallow)</t>
  </si>
  <si>
    <t>Biomass</t>
  </si>
  <si>
    <t>Calculated 
kg CO2e 
(per AR6)</t>
  </si>
  <si>
    <r>
      <t xml:space="preserve">» </t>
    </r>
    <r>
      <rPr>
        <b/>
        <sz val="10"/>
        <rFont val="Arial"/>
        <family val="2"/>
        <scheme val="major"/>
      </rPr>
      <t xml:space="preserve">Table 1 — </t>
    </r>
    <r>
      <rPr>
        <sz val="10"/>
        <rFont val="Arial"/>
        <family val="2"/>
        <scheme val="major"/>
      </rPr>
      <t>Emissions from general Municipal Solid Waste (MSW) for disposal and Recylables: For estimating emissions from off-site treatment/disposal of the following mixed material types: 
   glass, paper, metals, plastics, mixed recyclables, organics, municipal solid waste (MSW), and electronics.</t>
    </r>
  </si>
  <si>
    <r>
      <t xml:space="preserve">» </t>
    </r>
    <r>
      <rPr>
        <b/>
        <sz val="10"/>
        <rFont val="Arial"/>
        <family val="2"/>
        <scheme val="major"/>
      </rPr>
      <t xml:space="preserve">Table 2 — </t>
    </r>
    <r>
      <rPr>
        <sz val="10"/>
        <rFont val="Arial"/>
        <family val="2"/>
        <scheme val="major"/>
      </rPr>
      <t xml:space="preserve">Emissions from municipal wastewater treatment: For esimtating emissions from wastewater treatment, based on water usage volume.
 </t>
    </r>
  </si>
  <si>
    <r>
      <t xml:space="preserve">» </t>
    </r>
    <r>
      <rPr>
        <b/>
        <sz val="10"/>
        <rFont val="Arial"/>
        <family val="2"/>
        <scheme val="major"/>
      </rPr>
      <t xml:space="preserve">Table 3 — </t>
    </r>
    <r>
      <rPr>
        <sz val="10"/>
        <rFont val="Arial"/>
        <family val="2"/>
        <scheme val="major"/>
      </rPr>
      <t xml:space="preserve">For estimating emissions from off-site autoclave or incineration of Regulated Medical Waste (RMW) via supplier-specific emission factors from Stericycle (on a per mass basis). </t>
    </r>
  </si>
  <si>
    <r>
      <t xml:space="preserve">»  </t>
    </r>
    <r>
      <rPr>
        <b/>
        <sz val="10"/>
        <rFont val="Arial"/>
        <family val="2"/>
        <scheme val="major"/>
      </rPr>
      <t xml:space="preserve">Table 4a — </t>
    </r>
    <r>
      <rPr>
        <sz val="10"/>
        <rFont val="Arial"/>
        <family val="2"/>
        <scheme val="major"/>
      </rPr>
      <t>For estimating emissions from landfilling of treated RMW (preferred average-data method).</t>
    </r>
  </si>
  <si>
    <r>
      <t xml:space="preserve">» </t>
    </r>
    <r>
      <rPr>
        <b/>
        <sz val="10"/>
        <rFont val="Arial"/>
        <family val="2"/>
        <scheme val="major"/>
      </rPr>
      <t xml:space="preserve">Table 4b — </t>
    </r>
    <r>
      <rPr>
        <sz val="10"/>
        <rFont val="Arial"/>
        <family val="2"/>
        <scheme val="major"/>
      </rPr>
      <t>For estimating emissions from landfilling of treated RMW (secondary spend-based method).</t>
    </r>
  </si>
  <si>
    <t>RCRA Hazardous Waste Incineration</t>
  </si>
  <si>
    <r>
      <t xml:space="preserve">» </t>
    </r>
    <r>
      <rPr>
        <b/>
        <sz val="10"/>
        <rFont val="Arial"/>
        <family val="2"/>
        <scheme val="major"/>
      </rPr>
      <t xml:space="preserve">Table 5 — </t>
    </r>
    <r>
      <rPr>
        <sz val="10"/>
        <rFont val="Arial"/>
        <family val="2"/>
        <scheme val="major"/>
      </rPr>
      <t>Emissions from off-site incineration of RCRA-regulated hazardous waste as well as hazardous pharmaceuticals.</t>
    </r>
  </si>
  <si>
    <r>
      <t xml:space="preserve">Table 4a. Off-Site Landfilling of Regulated Medical Waste (RMW) following On-Site Treatment  </t>
    </r>
    <r>
      <rPr>
        <b/>
        <sz val="14"/>
        <color theme="1"/>
        <rFont val="Calibri"/>
        <family val="2"/>
      </rPr>
      <t>̶</t>
    </r>
    <r>
      <rPr>
        <b/>
        <i/>
        <sz val="14"/>
        <color theme="1"/>
        <rFont val="Arial"/>
        <family val="2"/>
        <scheme val="minor"/>
      </rPr>
      <t xml:space="preserve">  </t>
    </r>
    <r>
      <rPr>
        <b/>
        <i/>
        <sz val="14"/>
        <color rgb="FF0000FF"/>
        <rFont val="Arial"/>
        <family val="2"/>
        <scheme val="minor"/>
      </rPr>
      <t>average-data method</t>
    </r>
  </si>
  <si>
    <r>
      <t xml:space="preserve">Table 5. RCRA Hazardous Waste Incineration - </t>
    </r>
    <r>
      <rPr>
        <b/>
        <i/>
        <sz val="14"/>
        <color rgb="FF0000FF"/>
        <rFont val="Arial"/>
        <family val="2"/>
        <scheme val="minor"/>
      </rPr>
      <t>mass in short tons</t>
    </r>
  </si>
  <si>
    <t>RCRA waste (Hospital ABC)</t>
  </si>
  <si>
    <t>Hazardous waste incineration (Cat 5 table 5)</t>
  </si>
  <si>
    <t>Autoclave OR Incineration
(select from drop-down)</t>
  </si>
  <si>
    <t>Transportation mode
(select from drop-down)</t>
  </si>
  <si>
    <t>If car, vehicle type
(select from drop-down)</t>
  </si>
  <si>
    <t>If car, fuel type
(select from drop-down)</t>
  </si>
  <si>
    <t>Ambulance or Air Transport
(select from drop-down)</t>
  </si>
  <si>
    <t>Haul length category
(select from drop-down; 
see definitions to the right)</t>
  </si>
  <si>
    <t>Cabin Class
(select from drop-down)</t>
  </si>
  <si>
    <t>Country
(select from drop-down;  select "Global Median"
 if not in list)</t>
  </si>
  <si>
    <t>- Modified the "Cat 5 Waste" tab to include new Tables 4a/4b with user inputs for off-site landfilling after on-site treatment of Regulated Medical Waste (RMW) and new Table 5 for off-site incineration of RCRA-regulated materials and hazardous pharmaceuticals</t>
  </si>
  <si>
    <r>
      <rPr>
        <b/>
        <sz val="11"/>
        <color theme="1"/>
        <rFont val="Arial"/>
        <family val="2"/>
        <scheme val="minor"/>
      </rPr>
      <t>2.1.1</t>
    </r>
    <r>
      <rPr>
        <sz val="11"/>
        <color theme="1"/>
        <rFont val="Arial"/>
        <family val="2"/>
        <scheme val="minor"/>
      </rPr>
      <t xml:space="preserve"> - May 2026</t>
    </r>
  </si>
  <si>
    <t>Version 2.1.1 May 2026</t>
  </si>
  <si>
    <t>source: eGrid2024 (year 2024 data)</t>
  </si>
  <si>
    <t>Temp (to alphabetize)</t>
  </si>
  <si>
    <t xml:space="preserve">UK Government Conversion Factors for Company Reporting: Year 2025.  Department for Energy Security and Net Zero (DESNZ) 2025. </t>
  </si>
  <si>
    <t>Bureau of Transportation Statistics Commute Mode data by percent by state (2024).</t>
  </si>
  <si>
    <r>
      <rPr>
        <b/>
        <sz val="11"/>
        <color theme="1"/>
        <rFont val="Arial"/>
        <family val="2"/>
        <scheme val="major"/>
      </rPr>
      <t xml:space="preserve">Table 2: </t>
    </r>
    <r>
      <rPr>
        <sz val="11"/>
        <color theme="1"/>
        <rFont val="Arial"/>
        <family val="2"/>
        <scheme val="major"/>
      </rPr>
      <t xml:space="preserve">UK Government Conversion Factors for Company Reporting: Year 2025.  Department for Energy Security and Net Zero (DESNZ) 2025. </t>
    </r>
  </si>
  <si>
    <r>
      <rPr>
        <b/>
        <sz val="11"/>
        <color theme="1"/>
        <rFont val="Arial"/>
        <family val="2"/>
        <scheme val="major"/>
      </rPr>
      <t>Table 3</t>
    </r>
    <r>
      <rPr>
        <sz val="11"/>
        <color theme="1"/>
        <rFont val="Arial"/>
        <family val="2"/>
        <scheme val="major"/>
      </rPr>
      <t>: WM Healthcare Solutions, "Autoclave &amp; Incineration Emission Factors" (April 2025)</t>
    </r>
  </si>
  <si>
    <r>
      <rPr>
        <b/>
        <sz val="11"/>
        <color theme="1"/>
        <rFont val="Arial"/>
        <family val="2"/>
        <scheme val="major"/>
      </rPr>
      <t>Table 5</t>
    </r>
    <r>
      <rPr>
        <sz val="11"/>
        <color theme="1"/>
        <rFont val="Arial"/>
        <family val="2"/>
        <scheme val="major"/>
      </rPr>
      <t>: Gabor Doka., Doka G. 2008, Treatment of hazardous waste, hazardous waste incineration | hazardous waste, for incineration | Cutoff, S, Ecoinvent database version 3.9.1</t>
    </r>
  </si>
  <si>
    <r>
      <t xml:space="preserve">Ingwersen, W. and B. Young. </t>
    </r>
    <r>
      <rPr>
        <i/>
        <sz val="11"/>
        <color theme="1"/>
        <rFont val="Arial"/>
        <family val="2"/>
        <scheme val="major"/>
      </rPr>
      <t>Supply Chain Greenhouse Gas Emission Factors for US Industries and Commodities</t>
    </r>
    <r>
      <rPr>
        <sz val="11"/>
        <color theme="1"/>
        <rFont val="Arial"/>
        <family val="2"/>
        <scheme val="major"/>
      </rPr>
      <t>. Cornerstone Sustainability Data Initiative. Version v1.4.0. October 2025.</t>
    </r>
  </si>
  <si>
    <t>https://cornerstonedata.org</t>
  </si>
  <si>
    <t>(see link to download 'US EEIO')</t>
  </si>
  <si>
    <t>Category 5: Waste (Table 4b only)</t>
  </si>
  <si>
    <r>
      <rPr>
        <b/>
        <sz val="11"/>
        <color theme="1"/>
        <rFont val="Arial"/>
        <family val="2"/>
        <scheme val="major"/>
      </rPr>
      <t>Table 1 and 4a</t>
    </r>
    <r>
      <rPr>
        <sz val="11"/>
        <color theme="1"/>
        <rFont val="Arial"/>
        <family val="2"/>
        <scheme val="major"/>
      </rPr>
      <t xml:space="preserve">: U.S. EPA (2025). United States Environmental Protection Agency, Center for Corporate Climate Leadership. </t>
    </r>
    <r>
      <rPr>
        <i/>
        <sz val="11"/>
        <color theme="1"/>
        <rFont val="Arial"/>
        <family val="2"/>
        <scheme val="major"/>
      </rPr>
      <t>Emission Factors for Greenhouse Gas Inventories</t>
    </r>
    <r>
      <rPr>
        <sz val="11"/>
        <color theme="1"/>
        <rFont val="Arial"/>
        <family val="2"/>
        <scheme val="major"/>
      </rPr>
      <t>. January 2025.</t>
    </r>
  </si>
  <si>
    <r>
      <rPr>
        <i/>
        <sz val="11"/>
        <color theme="1"/>
        <rFont val="Arial"/>
        <family val="2"/>
        <scheme val="major"/>
      </rPr>
      <t>WTT- fuels</t>
    </r>
    <r>
      <rPr>
        <sz val="11"/>
        <color theme="1"/>
        <rFont val="Arial"/>
        <family val="2"/>
        <scheme val="major"/>
      </rPr>
      <t xml:space="preserve"> tab for Table 1; </t>
    </r>
    <r>
      <rPr>
        <i/>
        <sz val="11"/>
        <color theme="1"/>
        <rFont val="Arial"/>
        <family val="2"/>
        <scheme val="major"/>
      </rPr>
      <t>WTT- UK &amp; overseas elec</t>
    </r>
    <r>
      <rPr>
        <sz val="11"/>
        <color theme="1"/>
        <rFont val="Arial"/>
        <family val="2"/>
        <scheme val="major"/>
      </rPr>
      <t xml:space="preserve"> tab; </t>
    </r>
    <r>
      <rPr>
        <i/>
        <sz val="11"/>
        <color theme="1"/>
        <rFont val="Arial"/>
        <family val="2"/>
        <scheme val="major"/>
      </rPr>
      <t>WTT- overseas electricity (generation)</t>
    </r>
    <r>
      <rPr>
        <sz val="11"/>
        <color theme="1"/>
        <rFont val="Arial"/>
        <family val="2"/>
        <scheme val="major"/>
      </rPr>
      <t xml:space="preserve"> for Table 2 and </t>
    </r>
    <r>
      <rPr>
        <i/>
        <sz val="11"/>
        <color theme="1"/>
        <rFont val="Arial"/>
        <family val="2"/>
        <scheme val="major"/>
      </rPr>
      <t>WTT- overseas electricity (T&amp;D)</t>
    </r>
    <r>
      <rPr>
        <sz val="11"/>
        <color theme="1"/>
        <rFont val="Arial"/>
        <family val="2"/>
        <scheme val="major"/>
      </rPr>
      <t xml:space="preserve"> for Table 3.</t>
    </r>
  </si>
  <si>
    <t>IEA (2024), Emission Factors. International Energy Agency (IEA) 2025. IEA GHG Emissions from Electricity Generation (Year 2023 data).</t>
  </si>
  <si>
    <t>Note: "WTT" = Well-to-tank</t>
  </si>
  <si>
    <t>State (or select "United States" for US average)</t>
  </si>
  <si>
    <t>2.1.1</t>
  </si>
  <si>
    <t>June 2026</t>
  </si>
  <si>
    <t>outside the US that are uncertain of their region, please select grid MRO East.</t>
  </si>
  <si>
    <t>3.10</t>
  </si>
  <si>
    <t>`</t>
  </si>
  <si>
    <t>SRL23 Tab "eGRID subregion year 2023 data"</t>
  </si>
  <si>
    <t>eGRID 2023 Summary Table, Rev 2 (released June 12, 2025)</t>
  </si>
  <si>
    <t>Download Summary Table in xlsx, navigate to the SRL23 tab, and utilized , "TeGRID subregion annual CO2 equivalent total output emission rate (lb/MWh)" (units are lbs/MWh). Last updated 6/12/2025 (rev 2) with 2023 values.</t>
  </si>
  <si>
    <t>#42</t>
  </si>
  <si>
    <t>39</t>
  </si>
  <si>
    <t>Carbon Dioxide (CO2​)</t>
  </si>
  <si>
    <t>HCFO-1233zd(E)</t>
  </si>
  <si>
    <t>HFC-125 (CHF2​CF3​)</t>
  </si>
  <si>
    <t>HFC-134 (CHF2​CHF2​)</t>
  </si>
  <si>
    <t>HFC-134a (CH2​FCF3​)</t>
  </si>
  <si>
    <t>HFC-143 (CH2​FCHF2​)</t>
  </si>
  <si>
    <t>HFC-143a (CH3​CF3​)</t>
  </si>
  <si>
    <t>HFC-152a (CH3​CHF2​)</t>
  </si>
  <si>
    <t>HFC-227ea (CF3​CHFCF3​)</t>
  </si>
  <si>
    <t>HFC-23 (CHF3​)</t>
  </si>
  <si>
    <t>HFC-32 (CH2​F2​)</t>
  </si>
  <si>
    <t>HFC-41 (CH3​F)</t>
  </si>
  <si>
    <t>HFO-1234yf</t>
  </si>
  <si>
    <t>HFO-1234ze(E)</t>
  </si>
  <si>
    <t>HFO-1336mzz(E)</t>
  </si>
  <si>
    <t>HFO-1336mzz(Z)</t>
  </si>
  <si>
    <t>Methane (Non-Fossil / Biogenic) (CH4​)</t>
  </si>
  <si>
    <t>Nitrogen Trifluoride (NF3​)</t>
  </si>
  <si>
    <t>Nitrous Oxide (N2​O)</t>
  </si>
  <si>
    <t>R-448A</t>
  </si>
  <si>
    <t>R-449A</t>
  </si>
  <si>
    <t>R-450A</t>
  </si>
  <si>
    <t>R-452A</t>
  </si>
  <si>
    <t>R-454A</t>
  </si>
  <si>
    <t>R-454B</t>
  </si>
  <si>
    <t>R-454C</t>
  </si>
  <si>
    <t>R-455A</t>
  </si>
  <si>
    <t>R-513A</t>
  </si>
  <si>
    <t>R-515B</t>
  </si>
  <si>
    <t>Sulfur Hexafluoride (SF6​)</t>
  </si>
  <si>
    <t>Ice and/or water machine</t>
  </si>
  <si>
    <t>Total Emissions per Source</t>
  </si>
  <si>
    <t>Total Scope 1, 2 &amp; 3 GHG Emissions</t>
  </si>
  <si>
    <t>N2O: 273; O2:0</t>
  </si>
  <si>
    <t>US-PRMS (Puerto Rico Miscellaneous)</t>
  </si>
  <si>
    <t>Purchased electricity</t>
  </si>
  <si>
    <t>Purchased steam, hot and chilled water</t>
  </si>
  <si>
    <t>Stationary combustion</t>
  </si>
  <si>
    <t>Fugitive Combustion</t>
  </si>
  <si>
    <t>Mobile combustion</t>
  </si>
  <si>
    <t>MTCO2e</t>
  </si>
  <si>
    <t>Inhaled anesthetic gases</t>
  </si>
  <si>
    <t>Refrigerants and fire suppression</t>
  </si>
  <si>
    <t>Total Scope 1 &amp; 2 Emissions per Source</t>
  </si>
  <si>
    <t>Updated Scope 2 emissions factors to 2023 EPA data set (rev 2), updated refrigerant GWP to align with IPCC AR6, and added a few newer, lower GWP refrigerants. Updated graphs on Results &amp; Summary tab.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</si>
</sst>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7">
    <numFmt numFmtId="5" formatCode="&quot;$&quot;#,##0_);\(&quot;$&quot;#,##0\)"/>
    <numFmt numFmtId="44" formatCode="_(&quot;$&quot;* #,##0.00_);_(&quot;$&quot;* \(#,##0.00\);_(&quot;$&quot;* &quot;-&quot;??_);_(@_)"/>
    <numFmt numFmtId="43" formatCode="_(* #,##0.00_);_(* \(#,##0.00\);_(* &quot;-&quot;??_);_(@_)"/>
    <numFmt numFmtId="164" formatCode="0.000"/>
    <numFmt numFmtId="165" formatCode="0.000000"/>
    <numFmt numFmtId="166" formatCode="0.0000"/>
    <numFmt numFmtId="167" formatCode="#,##0.000"/>
    <numFmt numFmtId="168" formatCode="0.0"/>
    <numFmt numFmtId="169" formatCode="_(* #,##0.000_);_(* \(#,##0.000\);_(* &quot;-&quot;??_);_(@_)"/>
    <numFmt numFmtId="170" formatCode="_-* #,##0.00_-;\-* #,##0.00_-;_-* &quot;-&quot;??_-;_-@_-"/>
    <numFmt numFmtId="171" formatCode="#,##0.000000"/>
    <numFmt numFmtId="172" formatCode="0.00000"/>
    <numFmt numFmtId="173" formatCode="General_)"/>
    <numFmt numFmtId="174" formatCode="#,##0.0000_);\(#,##0.0000\)"/>
    <numFmt numFmtId="175" formatCode="_(* #,##0.0000_);_(* \(#,##0.0000\);_(* &quot;-&quot;??_);_(@_)"/>
    <numFmt numFmtId="176" formatCode="_(&quot;$&quot;* #,##0_);_(&quot;$&quot;* \(#,##0\);_(&quot;$&quot;* &quot;-&quot;??_);_(@_)"/>
    <numFmt numFmtId="177" formatCode="_(* #,##0.0_);_(* \(#,##0.0\);_(* &quot;-&quot;??_);_(@_)"/>
    <numFmt numFmtId="178" formatCode="#,##0.0000"/>
    <numFmt numFmtId="179" formatCode="#,##0.0"/>
    <numFmt numFmtId="180" formatCode="??0.00"/>
    <numFmt numFmtId="181" formatCode="??0.00000"/>
    <numFmt numFmtId="182" formatCode="0.00000000"/>
    <numFmt numFmtId="183" formatCode="0.0000000"/>
    <numFmt numFmtId="184" formatCode="#,##0.00000"/>
    <numFmt numFmtId="185" formatCode="#,##0.000000000"/>
    <numFmt numFmtId="186" formatCode="#,##0.0000000"/>
    <numFmt numFmtId="187" formatCode="0.0%"/>
    <numFmt numFmtId="188" formatCode="_-* #,##0_-;\-* #,##0_-;_-* &quot;-&quot;??_-;_-@_-"/>
    <numFmt numFmtId="189" formatCode="_-* #,##0.000_-;\-* #,##0.000_-;_-* &quot;-&quot;??_-;_-@_-"/>
    <numFmt numFmtId="190" formatCode="_-* #,##0.0000_-;\-* #,##0.0000_-;_-* &quot;-&quot;??_-;_-@_-"/>
    <numFmt numFmtId="191" formatCode="_-* #,##0.00000_-;\-* #,##0.00000_-;_-* &quot;-&quot;??_-;_-@_-"/>
    <numFmt numFmtId="192" formatCode="_-* #,##0.0_-;\-* #,##0.0_-;_-* &quot;-&quot;??_-;_-@_-"/>
    <numFmt numFmtId="193" formatCode="#,##0.000_);\(#,##0.000\)"/>
    <numFmt numFmtId="194" formatCode="&quot;$&quot;#,##0"/>
    <numFmt numFmtId="195" formatCode="0.0000000%"/>
    <numFmt numFmtId="196" formatCode="_(* #,##0.00000_);_(* \(#,##0.00000\);_(* &quot;-&quot;??_);_(@_)"/>
    <numFmt numFmtId="197" formatCode="_(* #,##0_);_(* \(#,##0\);_(* &quot;-&quot;??_);_(@_)"/>
  </numFmts>
  <fonts count="262">
    <font>
      <sz val="11"/>
      <color theme="1"/>
      <name val="Arial"/>
      <family val="2"/>
      <scheme val="minor"/>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Arial"/>
      <family val="2"/>
      <scheme val="minor"/>
    </font>
    <font>
      <b/>
      <sz val="11"/>
      <color theme="0"/>
      <name val="Arial"/>
      <family val="2"/>
      <scheme val="minor"/>
    </font>
    <font>
      <b/>
      <sz val="11"/>
      <color theme="1"/>
      <name val="Arial"/>
      <family val="2"/>
      <scheme val="minor"/>
    </font>
    <font>
      <i/>
      <sz val="11"/>
      <color theme="1"/>
      <name val="Arial"/>
      <family val="2"/>
      <scheme val="minor"/>
    </font>
    <font>
      <sz val="11"/>
      <color rgb="FFFF0000"/>
      <name val="Arial"/>
      <family val="2"/>
      <scheme val="minor"/>
    </font>
    <font>
      <sz val="11"/>
      <name val="Arial"/>
      <family val="2"/>
      <scheme val="minor"/>
    </font>
    <font>
      <b/>
      <sz val="16"/>
      <color theme="1"/>
      <name val="Arial"/>
      <family val="2"/>
      <scheme val="minor"/>
    </font>
    <font>
      <u/>
      <sz val="11"/>
      <color theme="10"/>
      <name val="Arial"/>
      <family val="2"/>
      <scheme val="minor"/>
    </font>
    <font>
      <b/>
      <sz val="22"/>
      <color theme="0"/>
      <name val="Arial"/>
      <family val="2"/>
      <scheme val="minor"/>
    </font>
    <font>
      <b/>
      <i/>
      <sz val="11"/>
      <color theme="1"/>
      <name val="Arial"/>
      <family val="2"/>
      <scheme val="minor"/>
    </font>
    <font>
      <sz val="10"/>
      <name val="Arial"/>
      <family val="2"/>
    </font>
    <font>
      <b/>
      <sz val="14"/>
      <color theme="1"/>
      <name val="Arial"/>
      <family val="2"/>
      <scheme val="minor"/>
    </font>
    <font>
      <i/>
      <sz val="11"/>
      <color rgb="FFFF0000"/>
      <name val="Arial"/>
      <family val="2"/>
      <scheme val="minor"/>
    </font>
    <font>
      <b/>
      <sz val="15"/>
      <color theme="3"/>
      <name val="Arial"/>
      <family val="2"/>
      <scheme val="minor"/>
    </font>
    <font>
      <b/>
      <sz val="13"/>
      <color theme="3"/>
      <name val="Arial"/>
      <family val="2"/>
      <scheme val="minor"/>
    </font>
    <font>
      <b/>
      <sz val="11"/>
      <color theme="3"/>
      <name val="Arial"/>
      <family val="2"/>
      <scheme val="minor"/>
    </font>
    <font>
      <sz val="11"/>
      <color rgb="FF006100"/>
      <name val="Arial"/>
      <family val="2"/>
      <scheme val="minor"/>
    </font>
    <font>
      <sz val="11"/>
      <color rgb="FF9C0006"/>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i/>
      <sz val="11"/>
      <color rgb="FF7F7F7F"/>
      <name val="Arial"/>
      <family val="2"/>
      <scheme val="minor"/>
    </font>
    <font>
      <sz val="11"/>
      <color theme="0"/>
      <name val="Arial"/>
      <family val="2"/>
      <scheme val="minor"/>
    </font>
    <font>
      <sz val="10"/>
      <name val="Verdana"/>
      <family val="2"/>
    </font>
    <font>
      <sz val="9"/>
      <color theme="1"/>
      <name val="Arial"/>
      <family val="2"/>
      <scheme val="minor"/>
    </font>
    <font>
      <sz val="10"/>
      <color theme="1"/>
      <name val="Arial"/>
      <family val="2"/>
      <scheme val="minor"/>
    </font>
    <font>
      <b/>
      <sz val="10"/>
      <color theme="1"/>
      <name val="Arial"/>
      <family val="2"/>
      <scheme val="minor"/>
    </font>
    <font>
      <b/>
      <sz val="12"/>
      <color theme="4"/>
      <name val="Arial"/>
      <family val="2"/>
      <scheme val="minor"/>
    </font>
    <font>
      <u/>
      <sz val="11"/>
      <color theme="6"/>
      <name val="Calibri"/>
      <family val="2"/>
    </font>
    <font>
      <b/>
      <sz val="9"/>
      <color theme="1"/>
      <name val="Arial"/>
      <family val="2"/>
      <scheme val="minor"/>
    </font>
    <font>
      <u/>
      <sz val="10"/>
      <color theme="4"/>
      <name val="Arial"/>
      <family val="2"/>
      <scheme val="minor"/>
    </font>
    <font>
      <sz val="11"/>
      <color rgb="FF9C6500"/>
      <name val="Arial"/>
      <family val="2"/>
      <scheme val="minor"/>
    </font>
    <font>
      <b/>
      <sz val="18"/>
      <color theme="3"/>
      <name val="Arial"/>
      <family val="2"/>
      <scheme val="major"/>
    </font>
    <font>
      <i/>
      <sz val="10"/>
      <color theme="1"/>
      <name val="Arial"/>
      <family val="2"/>
      <scheme val="minor"/>
    </font>
    <font>
      <b/>
      <sz val="11"/>
      <color rgb="FFFF0000"/>
      <name val="Arial"/>
      <family val="2"/>
      <scheme val="minor"/>
    </font>
    <font>
      <b/>
      <sz val="16"/>
      <color theme="0"/>
      <name val="Arial"/>
      <family val="2"/>
      <scheme val="minor"/>
    </font>
    <font>
      <sz val="10"/>
      <color theme="1"/>
      <name val="Calibri"/>
      <family val="2"/>
    </font>
    <font>
      <i/>
      <sz val="10"/>
      <color rgb="FFFF0000"/>
      <name val="Arial"/>
      <family val="2"/>
      <scheme val="minor"/>
    </font>
    <font>
      <sz val="11"/>
      <color rgb="FF000000"/>
      <name val="Calibri"/>
      <family val="2"/>
    </font>
    <font>
      <b/>
      <sz val="12"/>
      <color theme="1"/>
      <name val="Arial"/>
      <family val="2"/>
      <scheme val="minor"/>
    </font>
    <font>
      <sz val="12"/>
      <color theme="1"/>
      <name val="Arial"/>
      <family val="2"/>
      <scheme val="minor"/>
    </font>
    <font>
      <b/>
      <sz val="11"/>
      <name val="Arial"/>
      <family val="2"/>
      <scheme val="minor"/>
    </font>
    <font>
      <sz val="10"/>
      <color theme="1"/>
      <name val="Arial"/>
      <family val="2"/>
    </font>
    <font>
      <u/>
      <sz val="11"/>
      <color indexed="12"/>
      <name val="Calibri"/>
      <family val="2"/>
    </font>
    <font>
      <u/>
      <sz val="10"/>
      <color indexed="12"/>
      <name val="Arial"/>
      <family val="2"/>
    </font>
    <font>
      <sz val="12"/>
      <color theme="1"/>
      <name val="Arial"/>
      <family val="2"/>
      <charset val="129"/>
      <scheme val="minor"/>
    </font>
    <font>
      <sz val="11"/>
      <color theme="1"/>
      <name val="Calibri"/>
      <family val="2"/>
    </font>
    <font>
      <i/>
      <sz val="11"/>
      <name val="Arial"/>
      <family val="2"/>
      <scheme val="minor"/>
    </font>
    <font>
      <sz val="12"/>
      <name val="Arial"/>
      <family val="2"/>
      <scheme val="minor"/>
    </font>
    <font>
      <b/>
      <sz val="14"/>
      <color theme="0"/>
      <name val="Arial"/>
      <family val="2"/>
      <scheme val="minor"/>
    </font>
    <font>
      <sz val="12"/>
      <color rgb="FF000000"/>
      <name val="Arial"/>
      <family val="2"/>
      <scheme val="minor"/>
    </font>
    <font>
      <b/>
      <i/>
      <sz val="12"/>
      <name val="Arial"/>
      <family val="2"/>
      <scheme val="minor"/>
    </font>
    <font>
      <b/>
      <i/>
      <sz val="12"/>
      <color theme="1"/>
      <name val="Arial"/>
      <family val="2"/>
      <scheme val="minor"/>
    </font>
    <font>
      <sz val="11"/>
      <color theme="1"/>
      <name val="Arial"/>
      <family val="2"/>
    </font>
    <font>
      <b/>
      <vertAlign val="subscript"/>
      <sz val="10"/>
      <name val="Arial"/>
      <family val="2"/>
    </font>
    <font>
      <b/>
      <sz val="10"/>
      <name val="Arial"/>
      <family val="2"/>
    </font>
    <font>
      <sz val="10"/>
      <color rgb="FF0070C0"/>
      <name val="Arial"/>
      <family val="2"/>
    </font>
    <font>
      <b/>
      <i/>
      <sz val="11"/>
      <name val="Calibri"/>
      <family val="2"/>
    </font>
    <font>
      <i/>
      <sz val="11"/>
      <name val="Calibri"/>
      <family val="2"/>
    </font>
    <font>
      <i/>
      <sz val="9"/>
      <color theme="1"/>
      <name val="Arial"/>
      <family val="2"/>
      <scheme val="minor"/>
    </font>
    <font>
      <b/>
      <sz val="11"/>
      <color theme="1"/>
      <name val="Arial"/>
      <family val="2"/>
    </font>
    <font>
      <sz val="11"/>
      <color rgb="FF002060"/>
      <name val="Arial"/>
      <family val="2"/>
      <scheme val="minor"/>
    </font>
    <font>
      <vertAlign val="subscript"/>
      <sz val="11"/>
      <color indexed="56"/>
      <name val="Calibri"/>
      <family val="2"/>
    </font>
    <font>
      <sz val="11"/>
      <color indexed="56"/>
      <name val="Calibri"/>
      <family val="2"/>
    </font>
    <font>
      <b/>
      <sz val="11"/>
      <color rgb="FF0000FF"/>
      <name val="Arial"/>
      <family val="2"/>
      <scheme val="minor"/>
    </font>
    <font>
      <sz val="12"/>
      <color theme="0"/>
      <name val="Arial"/>
      <family val="2"/>
      <scheme val="minor"/>
    </font>
    <font>
      <b/>
      <i/>
      <sz val="10"/>
      <name val="Arial"/>
      <family val="2"/>
    </font>
    <font>
      <i/>
      <sz val="10"/>
      <name val="Arial"/>
      <family val="2"/>
    </font>
    <font>
      <b/>
      <i/>
      <u/>
      <sz val="10"/>
      <color theme="3" tint="-0.499984740745262"/>
      <name val="Arial"/>
      <family val="2"/>
    </font>
    <font>
      <sz val="11"/>
      <color rgb="FF0000FF"/>
      <name val="Arial"/>
      <family val="2"/>
      <scheme val="minor"/>
    </font>
    <font>
      <b/>
      <sz val="13.5"/>
      <color rgb="FF0000FF"/>
      <name val="Arial"/>
      <family val="2"/>
      <scheme val="minor"/>
    </font>
    <font>
      <b/>
      <sz val="13.5"/>
      <color theme="7"/>
      <name val="Arial"/>
      <family val="2"/>
      <scheme val="minor"/>
    </font>
    <font>
      <sz val="12"/>
      <color rgb="FF0000FF"/>
      <name val="Arial"/>
      <family val="2"/>
      <scheme val="minor"/>
    </font>
    <font>
      <sz val="18"/>
      <color rgb="FF0000FF"/>
      <name val="Arial"/>
      <family val="2"/>
      <scheme val="minor"/>
    </font>
    <font>
      <i/>
      <sz val="12"/>
      <color theme="1"/>
      <name val="Arial"/>
      <family val="2"/>
      <scheme val="minor"/>
    </font>
    <font>
      <b/>
      <sz val="18"/>
      <color rgb="FF0000FF"/>
      <name val="Arial"/>
      <family val="2"/>
      <scheme val="minor"/>
    </font>
    <font>
      <sz val="14"/>
      <color theme="0"/>
      <name val="Arial"/>
      <family val="2"/>
      <scheme val="minor"/>
    </font>
    <font>
      <b/>
      <u/>
      <sz val="14"/>
      <color theme="0"/>
      <name val="Arial"/>
      <family val="2"/>
      <scheme val="minor"/>
    </font>
    <font>
      <b/>
      <sz val="14"/>
      <color rgb="FFFF0000"/>
      <name val="Arial"/>
      <family val="2"/>
      <scheme val="minor"/>
    </font>
    <font>
      <sz val="11"/>
      <color rgb="FF343A3C"/>
      <name val="Arial"/>
      <family val="2"/>
      <scheme val="minor"/>
    </font>
    <font>
      <i/>
      <sz val="11"/>
      <color rgb="FF343A3C"/>
      <name val="Arial"/>
      <family val="2"/>
      <scheme val="minor"/>
    </font>
    <font>
      <b/>
      <i/>
      <sz val="14"/>
      <color theme="0"/>
      <name val="Arial"/>
      <family val="2"/>
      <scheme val="minor"/>
    </font>
    <font>
      <b/>
      <i/>
      <sz val="20"/>
      <name val="Arial"/>
      <family val="2"/>
      <scheme val="minor"/>
    </font>
    <font>
      <b/>
      <i/>
      <sz val="18"/>
      <color theme="1"/>
      <name val="Arial"/>
      <family val="2"/>
      <scheme val="minor"/>
    </font>
    <font>
      <b/>
      <sz val="12"/>
      <color theme="0"/>
      <name val="Arial"/>
      <family val="2"/>
      <scheme val="minor"/>
    </font>
    <font>
      <sz val="10"/>
      <color rgb="FFFF0000"/>
      <name val="Arial"/>
      <family val="2"/>
      <scheme val="minor"/>
    </font>
    <font>
      <b/>
      <sz val="14.5"/>
      <color theme="1"/>
      <name val="Arial"/>
      <family val="2"/>
      <scheme val="minor"/>
    </font>
    <font>
      <b/>
      <u/>
      <sz val="11"/>
      <color theme="1"/>
      <name val="Arial"/>
      <family val="2"/>
      <scheme val="minor"/>
    </font>
    <font>
      <b/>
      <i/>
      <sz val="11"/>
      <color rgb="FFFF0000"/>
      <name val="Arial"/>
      <family val="2"/>
      <scheme val="minor"/>
    </font>
    <font>
      <i/>
      <sz val="9"/>
      <color rgb="FF0000FF"/>
      <name val="Arial"/>
      <family val="2"/>
      <scheme val="minor"/>
    </font>
    <font>
      <b/>
      <sz val="12"/>
      <name val="Arial"/>
      <family val="2"/>
      <scheme val="minor"/>
    </font>
    <font>
      <b/>
      <i/>
      <sz val="14"/>
      <color theme="1"/>
      <name val="Arial"/>
      <family val="2"/>
      <scheme val="minor"/>
    </font>
    <font>
      <b/>
      <i/>
      <sz val="11"/>
      <name val="Arial"/>
      <family val="2"/>
      <scheme val="minor"/>
    </font>
    <font>
      <i/>
      <sz val="11"/>
      <color theme="2" tint="-0.499984740745262"/>
      <name val="Arial"/>
      <family val="2"/>
      <scheme val="minor"/>
    </font>
    <font>
      <b/>
      <sz val="12"/>
      <name val="Arial"/>
      <family val="2"/>
    </font>
    <font>
      <b/>
      <sz val="12"/>
      <color rgb="FFFF0000"/>
      <name val="Calibri"/>
      <family val="2"/>
    </font>
    <font>
      <sz val="12"/>
      <color theme="1"/>
      <name val="Calibri"/>
      <family val="2"/>
    </font>
    <font>
      <b/>
      <u/>
      <sz val="12"/>
      <color theme="1"/>
      <name val="Calibri"/>
      <family val="2"/>
    </font>
    <font>
      <b/>
      <i/>
      <sz val="12"/>
      <color theme="1"/>
      <name val="Calibri"/>
      <family val="2"/>
    </font>
    <font>
      <sz val="12"/>
      <color rgb="FF333333"/>
      <name val="Calibri"/>
      <family val="2"/>
    </font>
    <font>
      <b/>
      <i/>
      <sz val="12"/>
      <color rgb="FF333333"/>
      <name val="Calibri"/>
      <family val="2"/>
    </font>
    <font>
      <b/>
      <u/>
      <sz val="12"/>
      <color rgb="FF333333"/>
      <name val="Calibri"/>
      <family val="2"/>
    </font>
    <font>
      <sz val="12"/>
      <color rgb="FF000000"/>
      <name val="Calibri"/>
      <family val="2"/>
    </font>
    <font>
      <b/>
      <sz val="12"/>
      <color theme="1"/>
      <name val="Calibri"/>
      <family val="2"/>
    </font>
    <font>
      <i/>
      <sz val="12"/>
      <color theme="1"/>
      <name val="Calibri"/>
      <family val="2"/>
    </font>
    <font>
      <u/>
      <sz val="11"/>
      <color theme="1"/>
      <name val="Calibri"/>
      <family val="2"/>
    </font>
    <font>
      <u/>
      <sz val="12"/>
      <color theme="1"/>
      <name val="Calibri"/>
      <family val="2"/>
    </font>
    <font>
      <b/>
      <u/>
      <sz val="10"/>
      <name val="Arial"/>
      <family val="2"/>
    </font>
    <font>
      <b/>
      <sz val="11"/>
      <color rgb="FFFF0000"/>
      <name val="Arial"/>
      <family val="2"/>
      <scheme val="major"/>
    </font>
    <font>
      <sz val="11"/>
      <color theme="2" tint="-0.499984740745262"/>
      <name val="Arial"/>
      <family val="2"/>
      <scheme val="minor"/>
    </font>
    <font>
      <b/>
      <sz val="10"/>
      <color rgb="FF00B0F0"/>
      <name val="Arial"/>
      <family val="2"/>
    </font>
    <font>
      <b/>
      <sz val="10"/>
      <color rgb="FF0000FF"/>
      <name val="Arial"/>
      <family val="2"/>
    </font>
    <font>
      <b/>
      <sz val="10"/>
      <color rgb="FF00B050"/>
      <name val="Arial"/>
      <family val="2"/>
    </font>
    <font>
      <u/>
      <sz val="10"/>
      <name val="Arial"/>
      <family val="2"/>
    </font>
    <font>
      <b/>
      <i/>
      <sz val="14"/>
      <color rgb="FF0000FF"/>
      <name val="Arial"/>
      <family val="2"/>
      <scheme val="minor"/>
    </font>
    <font>
      <b/>
      <i/>
      <sz val="14"/>
      <color rgb="FF00B050"/>
      <name val="Arial"/>
      <family val="2"/>
      <scheme val="minor"/>
    </font>
    <font>
      <i/>
      <u/>
      <sz val="11"/>
      <color theme="10"/>
      <name val="Arial"/>
      <family val="2"/>
      <scheme val="minor"/>
    </font>
    <font>
      <sz val="8"/>
      <name val="Times New Roman Bold"/>
      <family val="2"/>
    </font>
    <font>
      <sz val="11"/>
      <name val="Calibri"/>
      <family val="2"/>
    </font>
    <font>
      <sz val="11"/>
      <color rgb="FF333333"/>
      <name val="Calibri"/>
      <family val="2"/>
    </font>
    <font>
      <sz val="9"/>
      <name val="Arial"/>
      <family val="2"/>
    </font>
    <font>
      <sz val="10"/>
      <color rgb="FF828386"/>
      <name val="Times New Roman"/>
      <family val="2"/>
    </font>
    <font>
      <b/>
      <i/>
      <sz val="16"/>
      <color theme="1"/>
      <name val="Arial"/>
      <family val="2"/>
      <scheme val="minor"/>
    </font>
    <font>
      <b/>
      <sz val="14"/>
      <name val="Arial"/>
      <family val="2"/>
      <scheme val="minor"/>
    </font>
    <font>
      <sz val="11"/>
      <color rgb="FF0000FF"/>
      <name val="Calibri"/>
      <family val="2"/>
    </font>
    <font>
      <sz val="11"/>
      <color rgb="FF053D5F"/>
      <name val="Arial"/>
      <family val="2"/>
      <scheme val="minor"/>
    </font>
    <font>
      <b/>
      <sz val="11"/>
      <color rgb="FF053D5F"/>
      <name val="Arial"/>
      <family val="2"/>
      <scheme val="minor"/>
    </font>
    <font>
      <i/>
      <sz val="11"/>
      <color rgb="FF053D5F"/>
      <name val="Arial"/>
      <family val="2"/>
      <scheme val="minor"/>
    </font>
    <font>
      <vertAlign val="subscript"/>
      <sz val="11"/>
      <color rgb="FF002060"/>
      <name val="Arial"/>
      <family val="2"/>
      <scheme val="minor"/>
    </font>
    <font>
      <b/>
      <sz val="11"/>
      <color rgb="FF002060"/>
      <name val="Arial"/>
      <family val="2"/>
      <scheme val="minor"/>
    </font>
    <font>
      <b/>
      <sz val="8"/>
      <name val="Tahoma"/>
      <family val="2"/>
    </font>
    <font>
      <b/>
      <sz val="9"/>
      <color indexed="81"/>
      <name val="Tahoma"/>
      <family val="2"/>
    </font>
    <font>
      <b/>
      <sz val="18"/>
      <color theme="0"/>
      <name val="Arial"/>
      <family val="2"/>
      <scheme val="major"/>
    </font>
    <font>
      <sz val="11"/>
      <color theme="0"/>
      <name val="Arial"/>
      <family val="2"/>
      <scheme val="major"/>
    </font>
    <font>
      <sz val="11"/>
      <color theme="1"/>
      <name val="Arial"/>
      <family val="2"/>
      <scheme val="major"/>
    </font>
    <font>
      <b/>
      <sz val="11"/>
      <color theme="1"/>
      <name val="Arial"/>
      <family val="2"/>
      <scheme val="major"/>
    </font>
    <font>
      <i/>
      <sz val="11"/>
      <color theme="1"/>
      <name val="Arial"/>
      <family val="2"/>
      <scheme val="major"/>
    </font>
    <font>
      <u/>
      <sz val="11"/>
      <color theme="10"/>
      <name val="Arial"/>
      <family val="2"/>
      <scheme val="major"/>
    </font>
    <font>
      <b/>
      <vertAlign val="superscript"/>
      <sz val="11"/>
      <color indexed="56"/>
      <name val="Calibri"/>
      <family val="2"/>
    </font>
    <font>
      <b/>
      <sz val="8"/>
      <color rgb="FFFF0000"/>
      <name val="Arial"/>
      <family val="2"/>
      <scheme val="minor"/>
    </font>
    <font>
      <sz val="18"/>
      <color theme="1"/>
      <name val="Arial"/>
      <family val="2"/>
      <scheme val="minor"/>
    </font>
    <font>
      <b/>
      <sz val="20"/>
      <color theme="4" tint="-0.249977111117893"/>
      <name val="Arial"/>
      <family val="2"/>
      <scheme val="minor"/>
    </font>
    <font>
      <sz val="18"/>
      <color theme="0"/>
      <name val="Arial"/>
      <family val="2"/>
      <scheme val="minor"/>
    </font>
    <font>
      <u/>
      <sz val="11"/>
      <color indexed="12"/>
      <name val="Arial"/>
      <family val="2"/>
    </font>
    <font>
      <b/>
      <sz val="12"/>
      <color rgb="FF000000"/>
      <name val="Arial"/>
      <family val="2"/>
      <scheme val="minor"/>
    </font>
    <font>
      <sz val="11"/>
      <color rgb="FF000000"/>
      <name val="Arial"/>
      <family val="2"/>
      <scheme val="minor"/>
    </font>
    <font>
      <b/>
      <u/>
      <sz val="12"/>
      <color theme="10"/>
      <name val="Arial"/>
      <family val="2"/>
      <scheme val="minor"/>
    </font>
    <font>
      <b/>
      <sz val="16"/>
      <color theme="4" tint="-0.249977111117893"/>
      <name val="Arial"/>
      <family val="2"/>
      <scheme val="minor"/>
    </font>
    <font>
      <b/>
      <u/>
      <sz val="11"/>
      <color theme="10"/>
      <name val="Arial"/>
      <family val="2"/>
      <scheme val="minor"/>
    </font>
    <font>
      <b/>
      <sz val="18"/>
      <color rgb="FF0070C0"/>
      <name val="Arial"/>
      <family val="2"/>
      <scheme val="minor"/>
    </font>
    <font>
      <sz val="14"/>
      <color theme="1"/>
      <name val="Arial"/>
      <family val="2"/>
      <scheme val="minor"/>
    </font>
    <font>
      <vertAlign val="subscript"/>
      <sz val="11"/>
      <color theme="1"/>
      <name val="Arial"/>
      <family val="2"/>
      <scheme val="minor"/>
    </font>
    <font>
      <b/>
      <sz val="10"/>
      <color rgb="FFFF0000"/>
      <name val="Arial"/>
      <family val="2"/>
      <scheme val="minor"/>
    </font>
    <font>
      <vertAlign val="subscript"/>
      <sz val="11"/>
      <name val="Arial"/>
      <family val="2"/>
      <scheme val="minor"/>
    </font>
    <font>
      <vertAlign val="superscript"/>
      <sz val="11"/>
      <color theme="1"/>
      <name val="Arial"/>
      <family val="2"/>
      <scheme val="minor"/>
    </font>
    <font>
      <vertAlign val="subscript"/>
      <sz val="10"/>
      <color theme="1"/>
      <name val="Arial"/>
      <family val="2"/>
      <scheme val="minor"/>
    </font>
    <font>
      <sz val="13"/>
      <color theme="1"/>
      <name val="Arial"/>
      <family val="2"/>
      <scheme val="minor"/>
    </font>
    <font>
      <sz val="10"/>
      <name val="Arial"/>
      <family val="2"/>
      <scheme val="minor"/>
    </font>
    <font>
      <sz val="12"/>
      <name val="Calibri"/>
      <family val="2"/>
    </font>
    <font>
      <b/>
      <sz val="11"/>
      <color rgb="FFFF0000"/>
      <name val="Calibri"/>
      <family val="2"/>
    </font>
    <font>
      <b/>
      <sz val="11"/>
      <color rgb="FFFF0000"/>
      <name val="Arial"/>
      <family val="2"/>
    </font>
    <font>
      <i/>
      <sz val="11"/>
      <color rgb="FF3F3F76"/>
      <name val="Arial"/>
      <family val="2"/>
      <scheme val="minor"/>
    </font>
    <font>
      <i/>
      <sz val="10"/>
      <name val="Arial"/>
      <family val="2"/>
      <scheme val="minor"/>
    </font>
    <font>
      <vertAlign val="superscript"/>
      <sz val="10"/>
      <color theme="1"/>
      <name val="Arial"/>
      <family val="2"/>
      <scheme val="minor"/>
    </font>
    <font>
      <sz val="10"/>
      <color rgb="FF000000"/>
      <name val="Calibri"/>
      <family val="2"/>
    </font>
    <font>
      <sz val="10"/>
      <color indexed="8"/>
      <name val="Arial"/>
      <family val="2"/>
      <scheme val="minor"/>
    </font>
    <font>
      <sz val="13"/>
      <name val="Arial"/>
      <family val="2"/>
      <scheme val="minor"/>
    </font>
    <font>
      <sz val="13"/>
      <color theme="0"/>
      <name val="Arial"/>
      <family val="2"/>
      <scheme val="minor"/>
    </font>
    <font>
      <sz val="12"/>
      <color theme="1" tint="0.249977111117893"/>
      <name val="Arial"/>
      <family val="2"/>
      <scheme val="minor"/>
    </font>
    <font>
      <i/>
      <sz val="12"/>
      <name val="Arial"/>
      <family val="2"/>
      <scheme val="minor"/>
    </font>
    <font>
      <b/>
      <sz val="20"/>
      <color theme="0"/>
      <name val="Arial"/>
      <family val="2"/>
      <scheme val="minor"/>
    </font>
    <font>
      <sz val="20"/>
      <color theme="0"/>
      <name val="Arial"/>
      <family val="2"/>
      <scheme val="minor"/>
    </font>
    <font>
      <sz val="20"/>
      <name val="Arial"/>
      <family val="2"/>
      <scheme val="minor"/>
    </font>
    <font>
      <b/>
      <sz val="17"/>
      <color theme="0"/>
      <name val="Arial"/>
      <family val="2"/>
      <scheme val="minor"/>
    </font>
    <font>
      <b/>
      <sz val="18"/>
      <color theme="4" tint="-0.249977111117893"/>
      <name val="Arial"/>
      <family val="2"/>
      <scheme val="minor"/>
    </font>
    <font>
      <vertAlign val="superscript"/>
      <sz val="12"/>
      <color theme="1"/>
      <name val="Arial"/>
      <family val="2"/>
      <scheme val="minor"/>
    </font>
    <font>
      <sz val="10"/>
      <name val="Calibri (Cuerpo)_x0000_"/>
    </font>
    <font>
      <u/>
      <sz val="10"/>
      <color indexed="12"/>
      <name val="Arial"/>
      <family val="2"/>
      <scheme val="minor"/>
    </font>
    <font>
      <b/>
      <u/>
      <sz val="12"/>
      <color rgb="FFFF0000"/>
      <name val="Arial"/>
      <family val="2"/>
      <scheme val="minor"/>
    </font>
    <font>
      <vertAlign val="subscript"/>
      <sz val="12"/>
      <color theme="1"/>
      <name val="Arial"/>
      <family val="2"/>
      <scheme val="minor"/>
    </font>
    <font>
      <b/>
      <sz val="9"/>
      <color rgb="FF888888"/>
      <name val="Arial"/>
      <family val="2"/>
      <scheme val="minor"/>
    </font>
    <font>
      <b/>
      <sz val="10"/>
      <color rgb="FF555555"/>
      <name val="Arial"/>
      <family val="2"/>
      <scheme val="minor"/>
    </font>
    <font>
      <sz val="9"/>
      <color indexed="81"/>
      <name val="Tahoma"/>
      <family val="2"/>
    </font>
    <font>
      <sz val="10"/>
      <color rgb="FF555555"/>
      <name val="Arial"/>
      <family val="2"/>
      <scheme val="minor"/>
    </font>
    <font>
      <b/>
      <sz val="12"/>
      <color rgb="FF888888"/>
      <name val="Arial"/>
      <family val="2"/>
      <scheme val="minor"/>
    </font>
    <font>
      <b/>
      <u/>
      <sz val="12"/>
      <color theme="1"/>
      <name val="Arial"/>
      <family val="2"/>
      <scheme val="minor"/>
    </font>
    <font>
      <sz val="12"/>
      <color rgb="FF3F3F76"/>
      <name val="Arial"/>
      <family val="2"/>
      <scheme val="minor"/>
    </font>
    <font>
      <sz val="9"/>
      <color rgb="FF1B1B1B"/>
      <name val="Arial"/>
      <family val="2"/>
      <scheme val="minor"/>
    </font>
    <font>
      <i/>
      <sz val="9"/>
      <color indexed="81"/>
      <name val="Tahoma"/>
      <family val="2"/>
    </font>
    <font>
      <sz val="8"/>
      <name val="Arial"/>
      <family val="2"/>
      <scheme val="minor"/>
    </font>
    <font>
      <b/>
      <sz val="11"/>
      <color theme="1"/>
      <name val="Calibri"/>
      <family val="2"/>
    </font>
    <font>
      <sz val="9"/>
      <name val="Calibri"/>
      <family val="2"/>
    </font>
    <font>
      <u/>
      <sz val="11"/>
      <color theme="10"/>
      <name val="Calibri"/>
      <family val="2"/>
    </font>
    <font>
      <b/>
      <sz val="11"/>
      <color theme="1"/>
      <name val="Arial"/>
      <family val="2"/>
    </font>
    <font>
      <sz val="11"/>
      <color theme="1"/>
      <name val="Arial"/>
      <family val="2"/>
    </font>
    <font>
      <b/>
      <sz val="10"/>
      <color rgb="FF0000FF"/>
      <name val="Arial"/>
      <family val="2"/>
    </font>
    <font>
      <sz val="11"/>
      <color indexed="8"/>
      <name val="Arial"/>
      <family val="2"/>
      <scheme val="minor"/>
    </font>
    <font>
      <b/>
      <sz val="11"/>
      <color rgb="FF333333"/>
      <name val="Arial"/>
      <family val="2"/>
    </font>
    <font>
      <b/>
      <sz val="10"/>
      <color rgb="FF333333"/>
      <name val="Arial"/>
      <family val="2"/>
    </font>
    <font>
      <b/>
      <sz val="11"/>
      <name val="Calibri"/>
      <family val="2"/>
    </font>
    <font>
      <b/>
      <sz val="12"/>
      <color theme="1"/>
      <name val="Arial"/>
      <family val="2"/>
    </font>
    <font>
      <b/>
      <sz val="10"/>
      <color rgb="FFFF0000"/>
      <name val="Calibri"/>
      <family val="2"/>
    </font>
    <font>
      <i/>
      <sz val="8"/>
      <name val="Arial"/>
      <family val="2"/>
      <scheme val="minor"/>
    </font>
    <font>
      <b/>
      <sz val="16"/>
      <name val="Arial"/>
      <family val="2"/>
      <scheme val="minor"/>
    </font>
    <font>
      <u/>
      <sz val="10"/>
      <color theme="10"/>
      <name val="Calibri"/>
      <family val="2"/>
    </font>
    <font>
      <sz val="4"/>
      <color rgb="FF053D5F"/>
      <name val="Arial"/>
      <family val="2"/>
      <scheme val="minor"/>
    </font>
    <font>
      <sz val="10"/>
      <color rgb="FF053D5F"/>
      <name val="Arial"/>
      <family val="2"/>
      <scheme val="minor"/>
    </font>
    <font>
      <b/>
      <sz val="10"/>
      <color rgb="FF053D5F"/>
      <name val="Arial"/>
      <family val="2"/>
      <scheme val="minor"/>
    </font>
    <font>
      <b/>
      <u/>
      <sz val="11"/>
      <color rgb="FF053D5F"/>
      <name val="Arial"/>
      <family val="2"/>
      <scheme val="minor"/>
    </font>
    <font>
      <vertAlign val="superscript"/>
      <sz val="11"/>
      <color indexed="56"/>
      <name val="Calibri"/>
      <family val="2"/>
    </font>
    <font>
      <b/>
      <i/>
      <sz val="10"/>
      <color rgb="FF0000FF"/>
      <name val="Arial"/>
      <family val="2"/>
      <scheme val="minor"/>
    </font>
    <font>
      <b/>
      <u/>
      <sz val="12"/>
      <color rgb="FF053D5F"/>
      <name val="Arial"/>
      <family val="2"/>
      <scheme val="minor"/>
    </font>
    <font>
      <i/>
      <sz val="12"/>
      <name val="Calibri"/>
      <family val="2"/>
    </font>
    <font>
      <b/>
      <i/>
      <sz val="18"/>
      <color rgb="FFFF0000"/>
      <name val="Arial"/>
      <family val="2"/>
      <scheme val="minor"/>
    </font>
    <font>
      <i/>
      <sz val="12"/>
      <color rgb="FF000000"/>
      <name val="Calibri"/>
      <family val="2"/>
    </font>
    <font>
      <b/>
      <sz val="12"/>
      <color rgb="FF002060"/>
      <name val="Arial"/>
      <family val="2"/>
      <scheme val="minor"/>
    </font>
    <font>
      <u/>
      <sz val="12"/>
      <color theme="10"/>
      <name val="Arial"/>
      <family val="2"/>
      <scheme val="minor"/>
    </font>
    <font>
      <i/>
      <sz val="12"/>
      <color rgb="FFFF0000"/>
      <name val="Arial"/>
      <family val="2"/>
      <scheme val="minor"/>
    </font>
    <font>
      <b/>
      <sz val="18"/>
      <color theme="1"/>
      <name val="Arial"/>
      <family val="2"/>
      <scheme val="minor"/>
    </font>
    <font>
      <b/>
      <u/>
      <sz val="12"/>
      <color rgb="FF0000FF"/>
      <name val="Arial"/>
      <family val="2"/>
      <scheme val="minor"/>
    </font>
    <font>
      <b/>
      <u/>
      <sz val="11"/>
      <name val="Arial"/>
      <family val="2"/>
      <scheme val="minor"/>
    </font>
    <font>
      <b/>
      <sz val="13"/>
      <color theme="0"/>
      <name val="Arial"/>
      <family val="2"/>
      <scheme val="minor"/>
    </font>
    <font>
      <sz val="11"/>
      <color rgb="FF053D5F"/>
      <name val="Arial"/>
      <family val="2"/>
    </font>
    <font>
      <i/>
      <sz val="10"/>
      <color rgb="FF053D5F"/>
      <name val="Arial"/>
      <family val="2"/>
      <scheme val="minor"/>
    </font>
    <font>
      <vertAlign val="subscript"/>
      <sz val="11"/>
      <color indexed="56"/>
      <name val="Arial"/>
      <family val="2"/>
    </font>
    <font>
      <sz val="11"/>
      <color indexed="56"/>
      <name val="Arial"/>
      <family val="2"/>
    </font>
    <font>
      <sz val="9"/>
      <color rgb="FF053D5F"/>
      <name val="Arial"/>
      <family val="2"/>
      <scheme val="minor"/>
    </font>
    <font>
      <b/>
      <sz val="21"/>
      <color rgb="FFFF0000"/>
      <name val="Arial"/>
      <family val="2"/>
      <scheme val="minor"/>
    </font>
    <font>
      <b/>
      <i/>
      <sz val="11"/>
      <color rgb="FF0000FF"/>
      <name val="Arial"/>
      <family val="2"/>
      <scheme val="minor"/>
    </font>
    <font>
      <b/>
      <sz val="20"/>
      <color rgb="FFFF0000"/>
      <name val="Arial"/>
      <family val="2"/>
    </font>
    <font>
      <b/>
      <i/>
      <sz val="20"/>
      <color rgb="FFFF0000"/>
      <name val="Arial"/>
      <family val="2"/>
      <scheme val="minor"/>
    </font>
    <font>
      <sz val="10"/>
      <color rgb="FF333333"/>
      <name val="Arial"/>
      <family val="2"/>
    </font>
    <font>
      <sz val="10"/>
      <color theme="0" tint="-0.34998626667073579"/>
      <name val="Arial"/>
      <family val="2"/>
    </font>
    <font>
      <b/>
      <sz val="11"/>
      <color theme="0" tint="-0.34998626667073579"/>
      <name val="Arial"/>
      <family val="2"/>
    </font>
    <font>
      <sz val="10"/>
      <color theme="0" tint="-0.34998626667073579"/>
      <name val="Calibri"/>
      <family val="2"/>
    </font>
    <font>
      <sz val="8"/>
      <color rgb="FF0000FF"/>
      <name val="Arial"/>
      <family val="2"/>
      <scheme val="minor"/>
    </font>
    <font>
      <b/>
      <sz val="11"/>
      <color rgb="FF0000FF"/>
      <name val="Calibri"/>
      <family val="2"/>
    </font>
    <font>
      <b/>
      <sz val="8.5"/>
      <color rgb="FF000000"/>
      <name val="Arial"/>
      <family val="2"/>
    </font>
    <font>
      <sz val="8.5"/>
      <color rgb="FF000000"/>
      <name val="Arial"/>
      <family val="2"/>
    </font>
    <font>
      <b/>
      <i/>
      <sz val="14"/>
      <color rgb="FFFF0000"/>
      <name val="Arial"/>
      <family val="2"/>
      <scheme val="minor"/>
    </font>
    <font>
      <b/>
      <sz val="14"/>
      <color theme="1"/>
      <name val="Calibri"/>
      <family val="2"/>
    </font>
    <font>
      <b/>
      <i/>
      <u/>
      <sz val="14"/>
      <color rgb="FFFF0000"/>
      <name val="Arial"/>
      <family val="2"/>
      <scheme val="minor"/>
    </font>
    <font>
      <u/>
      <sz val="11"/>
      <color theme="1"/>
      <name val="Arial"/>
      <family val="2"/>
      <scheme val="minor"/>
    </font>
    <font>
      <i/>
      <sz val="10"/>
      <color rgb="FFC00000"/>
      <name val="Arial"/>
      <family val="2"/>
      <scheme val="minor"/>
    </font>
    <font>
      <b/>
      <sz val="10"/>
      <color theme="1"/>
      <name val="Arial"/>
      <family val="2"/>
    </font>
    <font>
      <b/>
      <sz val="16"/>
      <color rgb="FF0000FF"/>
      <name val="Arial"/>
      <family val="2"/>
      <scheme val="minor"/>
    </font>
    <font>
      <b/>
      <u/>
      <sz val="10"/>
      <name val="Arial"/>
      <family val="2"/>
      <scheme val="major"/>
    </font>
    <font>
      <sz val="10"/>
      <name val="Arial"/>
      <family val="2"/>
      <scheme val="major"/>
    </font>
    <font>
      <b/>
      <sz val="10"/>
      <name val="Arial"/>
      <family val="2"/>
      <scheme val="major"/>
    </font>
    <font>
      <b/>
      <i/>
      <sz val="10"/>
      <name val="Arial"/>
      <family val="2"/>
      <scheme val="major"/>
    </font>
    <font>
      <sz val="9"/>
      <color rgb="FF0000FF"/>
      <name val="Calibri"/>
      <family val="2"/>
    </font>
    <font>
      <b/>
      <u/>
      <sz val="20"/>
      <color theme="10"/>
      <name val="Arial"/>
      <family val="2"/>
      <scheme val="minor"/>
    </font>
    <font>
      <sz val="16"/>
      <color rgb="FF3F3F76"/>
      <name val="Arial"/>
      <family val="2"/>
      <scheme val="minor"/>
    </font>
    <font>
      <sz val="10"/>
      <color theme="0"/>
      <name val="Arial"/>
      <family val="2"/>
      <scheme val="minor"/>
    </font>
    <font>
      <sz val="16"/>
      <color theme="0"/>
      <name val="Arial"/>
      <family val="2"/>
      <scheme val="minor"/>
    </font>
  </fonts>
  <fills count="90">
    <fill>
      <patternFill patternType="none"/>
    </fill>
    <fill>
      <patternFill patternType="gray125"/>
    </fill>
    <fill>
      <patternFill patternType="solid">
        <fgColor theme="4" tint="0.79998168889431442"/>
        <bgColor indexed="64"/>
      </patternFill>
    </fill>
    <fill>
      <patternFill patternType="solid">
        <fgColor theme="0" tint="-0.34998626667073579"/>
        <bgColor indexed="64"/>
      </patternFill>
    </fill>
    <fill>
      <patternFill patternType="solid">
        <fgColor theme="0"/>
        <bgColor indexed="64"/>
      </patternFill>
    </fill>
    <fill>
      <patternFill patternType="solid">
        <fgColor theme="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tint="-0.249977111117893"/>
        <bgColor indexed="64"/>
      </patternFill>
    </fill>
    <fill>
      <patternFill patternType="solid">
        <fgColor theme="3"/>
        <bgColor indexed="64"/>
      </patternFill>
    </fill>
    <fill>
      <patternFill patternType="solid">
        <fgColor theme="2"/>
        <bgColor indexed="64"/>
      </patternFill>
    </fill>
    <fill>
      <patternFill patternType="solid">
        <fgColor rgb="FFFFFFFF"/>
        <bgColor rgb="FF000000"/>
      </patternFill>
    </fill>
    <fill>
      <patternFill patternType="solid">
        <fgColor rgb="FF33CCFF"/>
        <bgColor indexed="64"/>
      </patternFill>
    </fill>
    <fill>
      <patternFill patternType="solid">
        <fgColor rgb="FF92D050"/>
        <bgColor indexed="64"/>
      </patternFill>
    </fill>
    <fill>
      <patternFill patternType="solid">
        <fgColor theme="4"/>
        <bgColor theme="4"/>
      </patternFill>
    </fill>
    <fill>
      <patternFill patternType="solid">
        <fgColor theme="0" tint="-0.14999847407452621"/>
        <bgColor indexed="64"/>
      </patternFill>
    </fill>
    <fill>
      <patternFill patternType="solid">
        <fgColor theme="4" tint="0.79998168889431442"/>
        <bgColor theme="4" tint="0.79998168889431442"/>
      </patternFill>
    </fill>
    <fill>
      <patternFill patternType="solid">
        <fgColor rgb="FFCDF2FF"/>
        <bgColor rgb="FF000000"/>
      </patternFill>
    </fill>
    <fill>
      <patternFill patternType="solid">
        <fgColor rgb="FFD9D9D9"/>
        <bgColor indexed="64"/>
      </patternFill>
    </fill>
    <fill>
      <patternFill patternType="solid">
        <fgColor rgb="FFFFFF00"/>
        <bgColor indexed="64"/>
      </patternFill>
    </fill>
    <fill>
      <patternFill patternType="solid">
        <fgColor rgb="FF00B0F0"/>
        <bgColor indexed="64"/>
      </patternFill>
    </fill>
    <fill>
      <patternFill patternType="solid">
        <fgColor theme="4"/>
        <bgColor indexed="64"/>
      </patternFill>
    </fill>
    <fill>
      <patternFill patternType="solid">
        <fgColor theme="0" tint="-0.499984740745262"/>
        <bgColor indexed="64"/>
      </patternFill>
    </fill>
    <fill>
      <patternFill patternType="solid">
        <fgColor rgb="FFCDF2FF"/>
        <bgColor indexed="64"/>
      </patternFill>
    </fill>
    <fill>
      <patternFill patternType="solid">
        <fgColor rgb="FFFFFFCC"/>
        <bgColor indexed="64"/>
      </patternFill>
    </fill>
    <fill>
      <patternFill patternType="gray125">
        <bgColor theme="0"/>
      </patternFill>
    </fill>
    <fill>
      <patternFill patternType="solid">
        <fgColor theme="1" tint="-0.249977111117893"/>
        <bgColor indexed="64"/>
      </patternFill>
    </fill>
    <fill>
      <patternFill patternType="solid">
        <fgColor rgb="FFA9D08E"/>
        <bgColor indexed="64"/>
      </patternFill>
    </fill>
    <fill>
      <patternFill patternType="solid">
        <fgColor rgb="FFD2E7D6"/>
        <bgColor indexed="64"/>
      </patternFill>
    </fill>
    <fill>
      <patternFill patternType="darkUp"/>
    </fill>
    <fill>
      <patternFill patternType="solid">
        <fgColor rgb="FF9BE686"/>
        <bgColor indexed="64"/>
      </patternFill>
    </fill>
    <fill>
      <patternFill patternType="solid">
        <fgColor rgb="FF6DCEF9"/>
        <bgColor indexed="64"/>
      </patternFill>
    </fill>
    <fill>
      <patternFill patternType="solid">
        <fgColor rgb="FF007EA7"/>
        <bgColor indexed="64"/>
      </patternFill>
    </fill>
    <fill>
      <patternFill patternType="solid">
        <fgColor rgb="FFDAF6FF"/>
        <bgColor indexed="64"/>
      </patternFill>
    </fill>
    <fill>
      <patternFill patternType="solid">
        <fgColor theme="0" tint="-4.9989318521683403E-2"/>
        <bgColor indexed="64"/>
      </patternFill>
    </fill>
    <fill>
      <patternFill patternType="darkDown"/>
    </fill>
    <fill>
      <patternFill patternType="solid">
        <fgColor rgb="FFFFA101"/>
        <bgColor indexed="64"/>
      </patternFill>
    </fill>
    <fill>
      <patternFill patternType="solid">
        <fgColor rgb="FFFEEAE2"/>
        <bgColor indexed="64"/>
      </patternFill>
    </fill>
    <fill>
      <patternFill patternType="darkUp">
        <bgColor theme="0"/>
      </patternFill>
    </fill>
    <fill>
      <patternFill patternType="solid">
        <fgColor theme="9" tint="0.79998168889431442"/>
        <bgColor indexed="64"/>
      </patternFill>
    </fill>
    <fill>
      <patternFill patternType="solid">
        <fgColor theme="2" tint="-0.249977111117893"/>
        <bgColor indexed="64"/>
      </patternFill>
    </fill>
    <fill>
      <patternFill patternType="solid">
        <fgColor rgb="FFF5F5F5"/>
        <bgColor indexed="64"/>
      </patternFill>
    </fill>
    <fill>
      <patternFill patternType="solid">
        <fgColor rgb="FF679436"/>
        <bgColor indexed="64"/>
      </patternFill>
    </fill>
    <fill>
      <patternFill patternType="solid">
        <fgColor rgb="FFE5F1D8"/>
        <bgColor indexed="64"/>
      </patternFill>
    </fill>
    <fill>
      <patternFill patternType="solid">
        <fgColor rgb="FFCCECFF"/>
        <bgColor indexed="64"/>
      </patternFill>
    </fill>
    <fill>
      <patternFill patternType="solid">
        <fgColor theme="3" tint="0.39997558519241921"/>
        <bgColor indexed="64"/>
      </patternFill>
    </fill>
    <fill>
      <patternFill patternType="solid">
        <fgColor theme="3" tint="0.79998168889431442"/>
        <bgColor indexed="64"/>
      </patternFill>
    </fill>
    <fill>
      <patternFill patternType="solid">
        <fgColor rgb="FFFF66CC"/>
        <bgColor indexed="64"/>
      </patternFill>
    </fill>
    <fill>
      <patternFill patternType="solid">
        <fgColor rgb="FFEAD1DC"/>
        <bgColor indexed="64"/>
      </patternFill>
    </fill>
    <fill>
      <patternFill patternType="solid">
        <fgColor rgb="FFFFE4FF"/>
        <bgColor indexed="64"/>
      </patternFill>
    </fill>
    <fill>
      <patternFill patternType="solid">
        <fgColor rgb="FFFFF2CC"/>
        <bgColor indexed="64"/>
      </patternFill>
    </fill>
    <fill>
      <patternFill patternType="solid">
        <fgColor theme="9" tint="-0.249977111117893"/>
        <bgColor indexed="64"/>
      </patternFill>
    </fill>
    <fill>
      <patternFill patternType="solid">
        <fgColor rgb="FFEBF1DE"/>
      </patternFill>
    </fill>
    <fill>
      <patternFill patternType="solid">
        <fgColor rgb="FFFFC000"/>
        <bgColor indexed="64"/>
      </patternFill>
    </fill>
    <fill>
      <patternFill patternType="solid">
        <fgColor rgb="FFDCDFE0"/>
        <bgColor indexed="64"/>
      </patternFill>
    </fill>
    <fill>
      <patternFill patternType="solid">
        <fgColor theme="3" tint="0.59999389629810485"/>
        <bgColor indexed="64"/>
      </patternFill>
    </fill>
    <fill>
      <patternFill patternType="solid">
        <fgColor rgb="FFCCFF99"/>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2" tint="-9.9978637043366805E-2"/>
        <bgColor indexed="64"/>
      </patternFill>
    </fill>
  </fills>
  <borders count="179">
    <border>
      <left/>
      <right/>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dashed">
        <color theme="0" tint="-0.24994659260841701"/>
      </bottom>
      <diagonal/>
    </border>
    <border>
      <left/>
      <right/>
      <top style="medium">
        <color theme="4"/>
      </top>
      <bottom/>
      <diagonal/>
    </border>
    <border>
      <left style="thick">
        <color theme="0"/>
      </left>
      <right style="thick">
        <color theme="0"/>
      </right>
      <top/>
      <bottom style="thin">
        <color theme="0" tint="-0.24994659260841701"/>
      </bottom>
      <diagonal/>
    </border>
    <border>
      <left/>
      <right/>
      <top/>
      <bottom style="thin">
        <color theme="0" tint="-0.249977111117893"/>
      </bottom>
      <diagonal/>
    </border>
    <border>
      <left/>
      <right/>
      <top style="thin">
        <color theme="4"/>
      </top>
      <bottom style="dashed">
        <color theme="0" tint="-0.24994659260841701"/>
      </bottom>
      <diagonal/>
    </border>
    <border>
      <left/>
      <right/>
      <top style="thin">
        <color theme="4"/>
      </top>
      <bottom style="thin">
        <color theme="0" tint="-0.24994659260841701"/>
      </bottom>
      <diagonal/>
    </border>
    <border>
      <left style="thin">
        <color auto="1"/>
      </left>
      <right/>
      <top style="thin">
        <color auto="1"/>
      </top>
      <bottom/>
      <diagonal/>
    </border>
    <border>
      <left style="thin">
        <color auto="1"/>
      </left>
      <right style="thin">
        <color auto="1"/>
      </right>
      <top/>
      <bottom/>
      <diagonal/>
    </border>
    <border>
      <left style="thin">
        <color indexed="64"/>
      </left>
      <right/>
      <top/>
      <bottom/>
      <diagonal/>
    </border>
    <border>
      <left style="thin">
        <color indexed="64"/>
      </left>
      <right style="thin">
        <color indexed="64"/>
      </right>
      <top/>
      <bottom style="thin">
        <color indexed="64"/>
      </bottom>
      <diagonal/>
    </border>
    <border>
      <left/>
      <right/>
      <top style="thin">
        <color auto="1"/>
      </top>
      <bottom/>
      <diagonal/>
    </border>
    <border>
      <left/>
      <right/>
      <top style="thin">
        <color indexed="64"/>
      </top>
      <bottom style="thin">
        <color indexed="64"/>
      </bottom>
      <diagonal/>
    </border>
    <border>
      <left style="medium">
        <color indexed="64"/>
      </left>
      <right style="thin">
        <color indexed="64"/>
      </right>
      <top style="medium">
        <color indexed="64"/>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dashed">
        <color auto="1"/>
      </left>
      <right style="dashed">
        <color auto="1"/>
      </right>
      <top style="dashed">
        <color auto="1"/>
      </top>
      <bottom style="dashed">
        <color auto="1"/>
      </bottom>
      <diagonal/>
    </border>
    <border>
      <left style="medium">
        <color auto="1"/>
      </left>
      <right style="thin">
        <color auto="1"/>
      </right>
      <top/>
      <bottom/>
      <diagonal/>
    </border>
    <border>
      <left style="thin">
        <color theme="4" tint="0.39997558519241921"/>
      </left>
      <right style="thin">
        <color theme="4" tint="0.39997558519241921"/>
      </right>
      <top style="thin">
        <color auto="1"/>
      </top>
      <bottom/>
      <diagonal/>
    </border>
    <border>
      <left style="thin">
        <color theme="4" tint="0.39997558519241921"/>
      </left>
      <right style="thin">
        <color theme="4" tint="0.39997558519241921"/>
      </right>
      <top style="thin">
        <color theme="4" tint="0.39997558519241921"/>
      </top>
      <bottom/>
      <diagonal/>
    </border>
    <border>
      <left style="thin">
        <color rgb="FF053D5F"/>
      </left>
      <right style="thin">
        <color rgb="FF053D5F"/>
      </right>
      <top style="thin">
        <color rgb="FF053D5F"/>
      </top>
      <bottom style="thin">
        <color rgb="FF053D5F"/>
      </bottom>
      <diagonal/>
    </border>
    <border>
      <left/>
      <right/>
      <top style="thin">
        <color theme="4" tint="0.39997558519241921"/>
      </top>
      <bottom style="thin">
        <color theme="4" tint="0.39997558519241921"/>
      </bottom>
      <diagonal/>
    </border>
    <border>
      <left style="thin">
        <color auto="1"/>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style="hair">
        <color indexed="64"/>
      </right>
      <top style="hair">
        <color indexed="64"/>
      </top>
      <bottom/>
      <diagonal/>
    </border>
    <border>
      <left/>
      <right style="hair">
        <color indexed="64"/>
      </right>
      <top/>
      <bottom/>
      <diagonal/>
    </border>
    <border>
      <left style="hair">
        <color indexed="64"/>
      </left>
      <right style="hair">
        <color indexed="64"/>
      </right>
      <top style="hair">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diagonal/>
    </border>
    <border>
      <left style="dotted">
        <color indexed="64"/>
      </left>
      <right style="thin">
        <color indexed="64"/>
      </right>
      <top style="dotted">
        <color indexed="64"/>
      </top>
      <bottom/>
      <diagonal/>
    </border>
    <border>
      <left style="dotted">
        <color indexed="64"/>
      </left>
      <right style="thin">
        <color indexed="64"/>
      </right>
      <top style="dotted">
        <color indexed="64"/>
      </top>
      <bottom style="dotted">
        <color indexed="64"/>
      </bottom>
      <diagonal/>
    </border>
    <border>
      <left/>
      <right/>
      <top style="dotted">
        <color indexed="64"/>
      </top>
      <bottom style="thin">
        <color auto="1"/>
      </bottom>
      <diagonal/>
    </border>
    <border>
      <left/>
      <right/>
      <top/>
      <bottom style="dotted">
        <color indexed="64"/>
      </bottom>
      <diagonal/>
    </border>
    <border>
      <left/>
      <right/>
      <top style="dotted">
        <color indexed="64"/>
      </top>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medium">
        <color indexed="64"/>
      </left>
      <right style="medium">
        <color indexed="64"/>
      </right>
      <top style="medium">
        <color indexed="64"/>
      </top>
      <bottom style="medium">
        <color indexed="64"/>
      </bottom>
      <diagonal/>
    </border>
    <border>
      <left style="hair">
        <color indexed="64"/>
      </left>
      <right/>
      <top style="hair">
        <color indexed="64"/>
      </top>
      <bottom/>
      <diagonal/>
    </border>
    <border>
      <left/>
      <right/>
      <top style="hair">
        <color indexed="64"/>
      </top>
      <bottom/>
      <diagonal/>
    </border>
    <border>
      <left style="hair">
        <color indexed="64"/>
      </left>
      <right style="hair">
        <color indexed="64"/>
      </right>
      <top/>
      <bottom style="hair">
        <color indexed="64"/>
      </bottom>
      <diagonal/>
    </border>
    <border>
      <left/>
      <right/>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theme="4" tint="0.39997558519241921"/>
      </left>
      <right/>
      <top style="hair">
        <color indexed="64"/>
      </top>
      <bottom/>
      <diagonal/>
    </border>
    <border>
      <left style="thin">
        <color theme="1" tint="0.39997558519241921"/>
      </left>
      <right style="thin">
        <color theme="1" tint="0.39997558519241921"/>
      </right>
      <top style="thin">
        <color theme="1" tint="0.39997558519241921"/>
      </top>
      <bottom style="thin">
        <color theme="1" tint="0.39997558519241921"/>
      </bottom>
      <diagonal/>
    </border>
    <border>
      <left style="thick">
        <color rgb="FF053D5F"/>
      </left>
      <right style="thin">
        <color rgb="FF053D5F"/>
      </right>
      <top style="thick">
        <color rgb="FF053D5F"/>
      </top>
      <bottom style="thin">
        <color rgb="FF053D5F"/>
      </bottom>
      <diagonal/>
    </border>
    <border>
      <left style="thin">
        <color rgb="FF053D5F"/>
      </left>
      <right style="thick">
        <color rgb="FF053D5F"/>
      </right>
      <top style="thick">
        <color rgb="FF053D5F"/>
      </top>
      <bottom style="thin">
        <color rgb="FF053D5F"/>
      </bottom>
      <diagonal/>
    </border>
    <border>
      <left style="thick">
        <color rgb="FF053D5F"/>
      </left>
      <right style="thin">
        <color rgb="FF053D5F"/>
      </right>
      <top style="thin">
        <color rgb="FF053D5F"/>
      </top>
      <bottom style="thick">
        <color rgb="FF053D5F"/>
      </bottom>
      <diagonal/>
    </border>
    <border>
      <left style="thin">
        <color rgb="FF053D5F"/>
      </left>
      <right style="thick">
        <color rgb="FF053D5F"/>
      </right>
      <top style="thin">
        <color rgb="FF053D5F"/>
      </top>
      <bottom style="thick">
        <color rgb="FF053D5F"/>
      </bottom>
      <diagonal/>
    </border>
    <border>
      <left/>
      <right/>
      <top/>
      <bottom style="thin">
        <color theme="0" tint="-0.24994659260841701"/>
      </bottom>
      <diagonal/>
    </border>
    <border>
      <left style="thick">
        <color theme="0"/>
      </left>
      <right/>
      <top/>
      <bottom style="thin">
        <color theme="0" tint="-0.2499465926084170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thick">
        <color rgb="FF053D5F"/>
      </left>
      <right style="thick">
        <color rgb="FF053D5F"/>
      </right>
      <top style="thick">
        <color rgb="FF053D5F"/>
      </top>
      <bottom style="thick">
        <color rgb="FF053D5F"/>
      </bottom>
      <diagonal/>
    </border>
    <border>
      <left style="thin">
        <color rgb="FF053D5F"/>
      </left>
      <right style="thin">
        <color rgb="FF053D5F"/>
      </right>
      <top style="thick">
        <color rgb="FF053D5F"/>
      </top>
      <bottom style="thin">
        <color rgb="FF053D5F"/>
      </bottom>
      <diagonal/>
    </border>
    <border>
      <left style="thick">
        <color rgb="FF053D5F"/>
      </left>
      <right style="thin">
        <color rgb="FF053D5F"/>
      </right>
      <top style="thin">
        <color rgb="FF053D5F"/>
      </top>
      <bottom style="thin">
        <color rgb="FF053D5F"/>
      </bottom>
      <diagonal/>
    </border>
    <border>
      <left style="thin">
        <color rgb="FF053D5F"/>
      </left>
      <right style="thick">
        <color rgb="FF053D5F"/>
      </right>
      <top style="thin">
        <color rgb="FF053D5F"/>
      </top>
      <bottom style="thin">
        <color rgb="FF053D5F"/>
      </bottom>
      <diagonal/>
    </border>
    <border>
      <left style="thin">
        <color rgb="FF053D5F"/>
      </left>
      <right style="thin">
        <color rgb="FF053D5F"/>
      </right>
      <top style="thin">
        <color rgb="FF053D5F"/>
      </top>
      <bottom style="thick">
        <color rgb="FF053D5F"/>
      </bottom>
      <diagonal/>
    </border>
    <border>
      <left style="medium">
        <color theme="1"/>
      </left>
      <right style="thin">
        <color theme="1"/>
      </right>
      <top style="medium">
        <color theme="1"/>
      </top>
      <bottom style="thin">
        <color theme="1"/>
      </bottom>
      <diagonal/>
    </border>
    <border>
      <left style="thin">
        <color theme="1"/>
      </left>
      <right style="thin">
        <color theme="1"/>
      </right>
      <top style="medium">
        <color theme="1"/>
      </top>
      <bottom style="thin">
        <color theme="1"/>
      </bottom>
      <diagonal/>
    </border>
    <border>
      <left style="thin">
        <color theme="1"/>
      </left>
      <right style="medium">
        <color theme="1"/>
      </right>
      <top style="medium">
        <color theme="1"/>
      </top>
      <bottom style="thin">
        <color theme="1"/>
      </bottom>
      <diagonal/>
    </border>
    <border>
      <left style="medium">
        <color theme="1"/>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medium">
        <color theme="1"/>
      </right>
      <top style="thin">
        <color theme="1"/>
      </top>
      <bottom style="thin">
        <color theme="1"/>
      </bottom>
      <diagonal/>
    </border>
    <border>
      <left style="medium">
        <color theme="1"/>
      </left>
      <right style="thin">
        <color theme="1"/>
      </right>
      <top style="thin">
        <color theme="1"/>
      </top>
      <bottom style="medium">
        <color theme="1"/>
      </bottom>
      <diagonal/>
    </border>
    <border>
      <left style="thin">
        <color theme="1"/>
      </left>
      <right style="thin">
        <color theme="1"/>
      </right>
      <top style="thin">
        <color theme="1"/>
      </top>
      <bottom style="medium">
        <color theme="1"/>
      </bottom>
      <diagonal/>
    </border>
    <border>
      <left style="thin">
        <color theme="1"/>
      </left>
      <right style="medium">
        <color theme="1"/>
      </right>
      <top style="thin">
        <color theme="1"/>
      </top>
      <bottom style="medium">
        <color theme="1"/>
      </bottom>
      <diagonal/>
    </border>
    <border>
      <left/>
      <right/>
      <top/>
      <bottom style="thin">
        <color theme="0"/>
      </bottom>
      <diagonal/>
    </border>
    <border>
      <left style="thin">
        <color rgb="FF7F7F7F"/>
      </left>
      <right/>
      <top style="thin">
        <color rgb="FF7F7F7F"/>
      </top>
      <bottom style="thin">
        <color rgb="FF7F7F7F"/>
      </bottom>
      <diagonal/>
    </border>
    <border>
      <left/>
      <right style="thin">
        <color rgb="FF7F7F7F"/>
      </right>
      <top style="thin">
        <color rgb="FF7F7F7F"/>
      </top>
      <bottom style="thin">
        <color rgb="FF7F7F7F"/>
      </bottom>
      <diagonal/>
    </border>
    <border>
      <left style="thin">
        <color indexed="64"/>
      </left>
      <right style="thin">
        <color indexed="64"/>
      </right>
      <top style="thin">
        <color indexed="64"/>
      </top>
      <bottom style="thin">
        <color rgb="FF7F7F7F"/>
      </bottom>
      <diagonal/>
    </border>
    <border>
      <left style="thin">
        <color indexed="64"/>
      </left>
      <right style="thin">
        <color indexed="64"/>
      </right>
      <top style="thin">
        <color rgb="FF7F7F7F"/>
      </top>
      <bottom style="thin">
        <color rgb="FF7F7F7F"/>
      </bottom>
      <diagonal/>
    </border>
    <border>
      <left style="thin">
        <color indexed="64"/>
      </left>
      <right style="thin">
        <color indexed="64"/>
      </right>
      <top style="thin">
        <color rgb="FF7F7F7F"/>
      </top>
      <bottom style="thin">
        <color indexed="64"/>
      </bottom>
      <diagonal/>
    </border>
    <border>
      <left/>
      <right style="thin">
        <color rgb="FF7F7F7F"/>
      </right>
      <top/>
      <bottom/>
      <diagonal/>
    </border>
    <border>
      <left style="thin">
        <color rgb="FF000000"/>
      </left>
      <right style="thin">
        <color rgb="FF000000"/>
      </right>
      <top style="thin">
        <color rgb="FF000000"/>
      </top>
      <bottom style="thin">
        <color rgb="FF000000"/>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right/>
      <top style="thin">
        <color theme="0"/>
      </top>
      <bottom style="thin">
        <color theme="0"/>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indexed="64"/>
      </right>
      <top/>
      <bottom/>
      <diagonal/>
    </border>
    <border>
      <left style="medium">
        <color indexed="64"/>
      </left>
      <right style="thin">
        <color indexed="64"/>
      </right>
      <top/>
      <bottom style="medium">
        <color indexed="64"/>
      </bottom>
      <diagonal/>
    </border>
    <border>
      <left/>
      <right/>
      <top style="thin">
        <color theme="0"/>
      </top>
      <bottom/>
      <diagonal/>
    </border>
    <border>
      <left style="thin">
        <color rgb="FF7F7F7F"/>
      </left>
      <right style="thin">
        <color rgb="FF7F7F7F"/>
      </right>
      <top/>
      <bottom style="thin">
        <color rgb="FF7F7F7F"/>
      </bottom>
      <diagonal/>
    </border>
    <border>
      <left style="thin">
        <color rgb="FF7F7F7F"/>
      </left>
      <right/>
      <top/>
      <bottom style="thin">
        <color rgb="FF7F7F7F"/>
      </bottom>
      <diagonal/>
    </border>
    <border>
      <left style="thin">
        <color indexed="64"/>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
      <left style="thin">
        <color theme="1"/>
      </left>
      <right style="thin">
        <color indexed="64"/>
      </right>
      <top style="thin">
        <color indexed="64"/>
      </top>
      <bottom style="thin">
        <color theme="1"/>
      </bottom>
      <diagonal/>
    </border>
    <border>
      <left style="thin">
        <color indexed="64"/>
      </left>
      <right style="thin">
        <color theme="1"/>
      </right>
      <top style="thin">
        <color theme="1"/>
      </top>
      <bottom style="thin">
        <color theme="1"/>
      </bottom>
      <diagonal/>
    </border>
    <border>
      <left style="thin">
        <color theme="1"/>
      </left>
      <right style="thin">
        <color indexed="64"/>
      </right>
      <top style="thin">
        <color theme="1"/>
      </top>
      <bottom style="thin">
        <color theme="1"/>
      </bottom>
      <diagonal/>
    </border>
    <border>
      <left style="thin">
        <color indexed="64"/>
      </left>
      <right style="thin">
        <color theme="1"/>
      </right>
      <top style="thin">
        <color theme="1"/>
      </top>
      <bottom style="thin">
        <color indexed="64"/>
      </bottom>
      <diagonal/>
    </border>
    <border>
      <left style="thin">
        <color theme="1"/>
      </left>
      <right style="thin">
        <color theme="1"/>
      </right>
      <top style="thin">
        <color theme="1"/>
      </top>
      <bottom style="thin">
        <color indexed="64"/>
      </bottom>
      <diagonal/>
    </border>
    <border>
      <left style="thin">
        <color theme="1"/>
      </left>
      <right style="thin">
        <color indexed="64"/>
      </right>
      <top style="thin">
        <color theme="1"/>
      </top>
      <bottom style="thin">
        <color indexed="64"/>
      </bottom>
      <diagonal/>
    </border>
    <border>
      <left style="thick">
        <color rgb="FFFF66CC"/>
      </left>
      <right style="medium">
        <color rgb="FFCCCCCC"/>
      </right>
      <top style="thick">
        <color rgb="FFFF66CC"/>
      </top>
      <bottom style="medium">
        <color rgb="FFCCCCCC"/>
      </bottom>
      <diagonal/>
    </border>
    <border>
      <left style="medium">
        <color rgb="FFCCCCCC"/>
      </left>
      <right style="medium">
        <color rgb="FFCCCCCC"/>
      </right>
      <top style="thick">
        <color rgb="FFFF66CC"/>
      </top>
      <bottom style="medium">
        <color rgb="FFCCCCCC"/>
      </bottom>
      <diagonal/>
    </border>
    <border>
      <left style="thick">
        <color rgb="FFFF66CC"/>
      </left>
      <right style="medium">
        <color rgb="FFCCCCCC"/>
      </right>
      <top style="medium">
        <color rgb="FFCCCCCC"/>
      </top>
      <bottom style="medium">
        <color rgb="FFCCCCCC"/>
      </bottom>
      <diagonal/>
    </border>
    <border>
      <left style="medium">
        <color rgb="FFCCCCCC"/>
      </left>
      <right style="medium">
        <color rgb="FFCCCCCC"/>
      </right>
      <top style="medium">
        <color rgb="FFCCCCCC"/>
      </top>
      <bottom style="medium">
        <color rgb="FFCCCCCC"/>
      </bottom>
      <diagonal/>
    </border>
    <border>
      <left style="thick">
        <color rgb="FFFF66CC"/>
      </left>
      <right style="medium">
        <color rgb="FFCCCCCC"/>
      </right>
      <top style="medium">
        <color rgb="FFCCCCCC"/>
      </top>
      <bottom style="thick">
        <color rgb="FFFF00FF"/>
      </bottom>
      <diagonal/>
    </border>
    <border>
      <left style="medium">
        <color rgb="FFCCCCCC"/>
      </left>
      <right style="medium">
        <color rgb="FFCCCCCC"/>
      </right>
      <top style="medium">
        <color rgb="FFCCCCCC"/>
      </top>
      <bottom style="thick">
        <color rgb="FFFF00FF"/>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hair">
        <color indexed="64"/>
      </left>
      <right style="hair">
        <color indexed="64"/>
      </right>
      <top style="hair">
        <color indexed="64"/>
      </top>
      <bottom/>
      <diagonal/>
    </border>
    <border>
      <left/>
      <right/>
      <top/>
      <bottom style="thin">
        <color theme="4" tint="0.39997558519241921"/>
      </bottom>
      <diagonal/>
    </border>
    <border>
      <left/>
      <right style="thin">
        <color theme="1" tint="0.39997558519241921"/>
      </right>
      <top style="thin">
        <color theme="1" tint="0.39997558519241921"/>
      </top>
      <bottom style="thin">
        <color theme="1" tint="0.39997558519241921"/>
      </bottom>
      <diagonal/>
    </border>
    <border>
      <left style="thin">
        <color theme="1" tint="0.39997558519241921"/>
      </left>
      <right style="thin">
        <color theme="1" tint="0.39997558519241921"/>
      </right>
      <top style="thin">
        <color theme="1" tint="0.39997558519241921"/>
      </top>
      <bottom/>
      <diagonal/>
    </border>
    <border>
      <left style="medium">
        <color rgb="FFCCCCCC"/>
      </left>
      <right/>
      <top style="medium">
        <color rgb="FFCCCCCC"/>
      </top>
      <bottom style="medium">
        <color rgb="FFCCCCCC"/>
      </bottom>
      <diagonal/>
    </border>
    <border>
      <left style="double">
        <color rgb="FF053D5F"/>
      </left>
      <right/>
      <top style="double">
        <color rgb="FF053D5F"/>
      </top>
      <bottom style="double">
        <color rgb="FF053D5F"/>
      </bottom>
      <diagonal/>
    </border>
    <border>
      <left/>
      <right/>
      <top style="double">
        <color rgb="FF053D5F"/>
      </top>
      <bottom style="double">
        <color rgb="FF053D5F"/>
      </bottom>
      <diagonal/>
    </border>
    <border>
      <left/>
      <right style="double">
        <color rgb="FF053D5F"/>
      </right>
      <top style="double">
        <color rgb="FF053D5F"/>
      </top>
      <bottom style="double">
        <color rgb="FF053D5F"/>
      </bottom>
      <diagonal/>
    </border>
    <border>
      <left style="thick">
        <color rgb="FF053D5F"/>
      </left>
      <right style="thick">
        <color rgb="FF053D5F"/>
      </right>
      <top style="thick">
        <color rgb="FF053D5F"/>
      </top>
      <bottom/>
      <diagonal/>
    </border>
    <border>
      <left style="thick">
        <color rgb="FF053D5F"/>
      </left>
      <right style="thick">
        <color rgb="FF053D5F"/>
      </right>
      <top style="thick">
        <color rgb="FF053D5F"/>
      </top>
      <bottom style="thin">
        <color rgb="FF053D5F"/>
      </bottom>
      <diagonal/>
    </border>
    <border>
      <left style="thick">
        <color rgb="FF053D5F"/>
      </left>
      <right style="thick">
        <color rgb="FF053D5F"/>
      </right>
      <top/>
      <bottom/>
      <diagonal/>
    </border>
    <border>
      <left style="thick">
        <color rgb="FF053D5F"/>
      </left>
      <right style="thick">
        <color rgb="FF053D5F"/>
      </right>
      <top style="thin">
        <color rgb="FF053D5F"/>
      </top>
      <bottom style="thin">
        <color rgb="FF053D5F"/>
      </bottom>
      <diagonal/>
    </border>
    <border>
      <left style="thick">
        <color rgb="FF053D5F"/>
      </left>
      <right style="thick">
        <color rgb="FF053D5F"/>
      </right>
      <top/>
      <bottom style="thick">
        <color rgb="FF053D5F"/>
      </bottom>
      <diagonal/>
    </border>
    <border>
      <left style="thick">
        <color rgb="FF053D5F"/>
      </left>
      <right style="thick">
        <color rgb="FF053D5F"/>
      </right>
      <top style="thin">
        <color rgb="FF053D5F"/>
      </top>
      <bottom style="thick">
        <color rgb="FF053D5F"/>
      </bottom>
      <diagonal/>
    </border>
    <border>
      <left style="medium">
        <color indexed="64"/>
      </left>
      <right style="dashed">
        <color auto="1"/>
      </right>
      <top style="medium">
        <color indexed="64"/>
      </top>
      <bottom style="medium">
        <color indexed="64"/>
      </bottom>
      <diagonal/>
    </border>
    <border>
      <left style="medium">
        <color theme="1" tint="0.39997558519241921"/>
      </left>
      <right style="medium">
        <color theme="1" tint="0.39997558519241921"/>
      </right>
      <top style="medium">
        <color theme="1" tint="0.39997558519241921"/>
      </top>
      <bottom style="medium">
        <color theme="1" tint="0.39997558519241921"/>
      </bottom>
      <diagonal/>
    </border>
    <border>
      <left style="medium">
        <color theme="1" tint="0.39997558519241921"/>
      </left>
      <right/>
      <top style="medium">
        <color theme="1" tint="0.39997558519241921"/>
      </top>
      <bottom/>
      <diagonal/>
    </border>
    <border>
      <left/>
      <right/>
      <top style="medium">
        <color theme="1" tint="0.39997558519241921"/>
      </top>
      <bottom/>
      <diagonal/>
    </border>
    <border>
      <left/>
      <right style="medium">
        <color theme="1" tint="0.39997558519241921"/>
      </right>
      <top style="medium">
        <color theme="1" tint="0.39997558519241921"/>
      </top>
      <bottom/>
      <diagonal/>
    </border>
    <border>
      <left style="medium">
        <color theme="1" tint="0.39997558519241921"/>
      </left>
      <right/>
      <top/>
      <bottom/>
      <diagonal/>
    </border>
    <border>
      <left/>
      <right style="medium">
        <color theme="1" tint="0.39997558519241921"/>
      </right>
      <top/>
      <bottom/>
      <diagonal/>
    </border>
    <border>
      <left/>
      <right/>
      <top/>
      <bottom style="medium">
        <color theme="1" tint="0.39997558519241921"/>
      </bottom>
      <diagonal/>
    </border>
    <border>
      <left/>
      <right style="medium">
        <color theme="1" tint="0.39997558519241921"/>
      </right>
      <top/>
      <bottom style="medium">
        <color theme="1" tint="0.39997558519241921"/>
      </bottom>
      <diagonal/>
    </border>
    <border>
      <left style="medium">
        <color theme="1" tint="0.39997558519241921"/>
      </left>
      <right/>
      <top/>
      <bottom style="medium">
        <color theme="1" tint="0.39997558519241921"/>
      </bottom>
      <diagonal/>
    </border>
    <border>
      <left style="medium">
        <color theme="1" tint="0.39997558519241921"/>
      </left>
      <right style="medium">
        <color theme="1" tint="0.39997558519241921"/>
      </right>
      <top style="medium">
        <color theme="1" tint="0.39997558519241921"/>
      </top>
      <bottom/>
      <diagonal/>
    </border>
    <border>
      <left style="medium">
        <color theme="1" tint="0.39997558519241921"/>
      </left>
      <right style="medium">
        <color theme="1" tint="0.39997558519241921"/>
      </right>
      <top/>
      <bottom/>
      <diagonal/>
    </border>
    <border>
      <left style="medium">
        <color theme="1" tint="0.39997558519241921"/>
      </left>
      <right style="medium">
        <color theme="1" tint="0.39997558519241921"/>
      </right>
      <top/>
      <bottom style="medium">
        <color theme="1" tint="0.39997558519241921"/>
      </bottom>
      <diagonal/>
    </border>
    <border>
      <left/>
      <right/>
      <top style="thin">
        <color theme="1" tint="0.39997558519241921"/>
      </top>
      <bottom/>
      <diagonal/>
    </border>
    <border>
      <left/>
      <right style="thin">
        <color theme="1" tint="0.39997558519241921"/>
      </right>
      <top style="thin">
        <color theme="1" tint="0.39997558519241921"/>
      </top>
      <bottom/>
      <diagonal/>
    </border>
    <border>
      <left style="thin">
        <color rgb="FF053D5F"/>
      </left>
      <right style="thin">
        <color rgb="FF053D5F"/>
      </right>
      <top style="thin">
        <color rgb="FF053D5F"/>
      </top>
      <bottom/>
      <diagonal/>
    </border>
    <border>
      <left style="thin">
        <color rgb="FF053D5F"/>
      </left>
      <right style="thin">
        <color rgb="FF053D5F"/>
      </right>
      <top/>
      <bottom style="thin">
        <color rgb="FF053D5F"/>
      </bottom>
      <diagonal/>
    </border>
    <border>
      <left style="thin">
        <color rgb="FF053D5F"/>
      </left>
      <right/>
      <top style="thick">
        <color rgb="FF053D5F"/>
      </top>
      <bottom style="thin">
        <color rgb="FF053D5F"/>
      </bottom>
      <diagonal/>
    </border>
    <border>
      <left style="thin">
        <color rgb="FF053D5F"/>
      </left>
      <right/>
      <top style="thin">
        <color rgb="FF053D5F"/>
      </top>
      <bottom style="thick">
        <color rgb="FF053D5F"/>
      </bottom>
      <diagonal/>
    </border>
    <border>
      <left/>
      <right style="thick">
        <color rgb="FF053D5F"/>
      </right>
      <top style="thick">
        <color rgb="FF053D5F"/>
      </top>
      <bottom style="thin">
        <color rgb="FF053D5F"/>
      </bottom>
      <diagonal/>
    </border>
    <border>
      <left/>
      <right style="thick">
        <color rgb="FF053D5F"/>
      </right>
      <top style="thin">
        <color rgb="FF053D5F"/>
      </top>
      <bottom style="thick">
        <color rgb="FF053D5F"/>
      </bottom>
      <diagonal/>
    </border>
    <border>
      <left style="medium">
        <color indexed="64"/>
      </left>
      <right/>
      <top style="thin">
        <color theme="4" tint="0.39997558519241921"/>
      </top>
      <bottom/>
      <diagonal/>
    </border>
    <border>
      <left/>
      <right style="medium">
        <color indexed="64"/>
      </right>
      <top/>
      <bottom/>
      <diagonal/>
    </border>
    <border>
      <left style="medium">
        <color indexed="64"/>
      </left>
      <right/>
      <top/>
      <bottom/>
      <diagonal/>
    </border>
    <border>
      <left style="medium">
        <color indexed="64"/>
      </left>
      <right style="hair">
        <color indexed="64"/>
      </right>
      <top style="hair">
        <color indexed="64"/>
      </top>
      <bottom style="hair">
        <color indexed="64"/>
      </bottom>
      <diagonal/>
    </border>
    <border>
      <left/>
      <right style="thin">
        <color rgb="FF053D5F"/>
      </right>
      <top style="thin">
        <color rgb="FF053D5F"/>
      </top>
      <bottom/>
      <diagonal/>
    </border>
    <border>
      <left/>
      <right style="thin">
        <color rgb="FF053D5F"/>
      </right>
      <top/>
      <bottom style="thin">
        <color rgb="FF053D5F"/>
      </bottom>
      <diagonal/>
    </border>
  </borders>
  <cellStyleXfs count="75">
    <xf numFmtId="0" fontId="0" fillId="0" borderId="0"/>
    <xf numFmtId="9" fontId="6" fillId="0" borderId="0" applyFont="0" applyFill="0" applyBorder="0" applyAlignment="0" applyProtection="0"/>
    <xf numFmtId="0" fontId="13" fillId="0" borderId="0" applyNumberFormat="0" applyFill="0" applyBorder="0" applyAlignment="0" applyProtection="0"/>
    <xf numFmtId="0" fontId="16" fillId="0" borderId="0"/>
    <xf numFmtId="0" fontId="19" fillId="0" borderId="5" applyNumberFormat="0" applyFill="0" applyAlignment="0" applyProtection="0"/>
    <xf numFmtId="0" fontId="20" fillId="0" borderId="6" applyNumberFormat="0" applyFill="0" applyAlignment="0" applyProtection="0"/>
    <xf numFmtId="0" fontId="21" fillId="0" borderId="7" applyNumberFormat="0" applyFill="0" applyAlignment="0" applyProtection="0"/>
    <xf numFmtId="0" fontId="21" fillId="0" borderId="0" applyNumberFormat="0" applyFill="0" applyBorder="0" applyAlignment="0" applyProtection="0"/>
    <xf numFmtId="0" fontId="22" fillId="6" borderId="0" applyNumberFormat="0" applyBorder="0" applyAlignment="0" applyProtection="0"/>
    <xf numFmtId="0" fontId="23" fillId="7" borderId="0" applyNumberFormat="0" applyBorder="0" applyAlignment="0" applyProtection="0"/>
    <xf numFmtId="0" fontId="24" fillId="9" borderId="8" applyNumberFormat="0" applyAlignment="0" applyProtection="0"/>
    <xf numFmtId="0" fontId="25" fillId="10" borderId="9" applyNumberFormat="0" applyAlignment="0" applyProtection="0"/>
    <xf numFmtId="0" fontId="26" fillId="10" borderId="8" applyNumberFormat="0" applyAlignment="0" applyProtection="0"/>
    <xf numFmtId="0" fontId="27" fillId="0" borderId="10" applyNumberFormat="0" applyFill="0" applyAlignment="0" applyProtection="0"/>
    <xf numFmtId="0" fontId="7" fillId="11" borderId="11" applyNumberFormat="0" applyAlignment="0" applyProtection="0"/>
    <xf numFmtId="0" fontId="10" fillId="0" borderId="0" applyNumberFormat="0" applyFill="0" applyBorder="0" applyAlignment="0" applyProtection="0"/>
    <xf numFmtId="0" fontId="6" fillId="12" borderId="12" applyNumberFormat="0" applyFont="0" applyAlignment="0" applyProtection="0"/>
    <xf numFmtId="0" fontId="28" fillId="0" borderId="0" applyNumberFormat="0" applyFill="0" applyBorder="0" applyAlignment="0" applyProtection="0"/>
    <xf numFmtId="0" fontId="8" fillId="0" borderId="13" applyNumberFormat="0" applyFill="0" applyAlignment="0" applyProtection="0"/>
    <xf numFmtId="0" fontId="29"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29"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29"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29"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29"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29"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30" fillId="0" borderId="0"/>
    <xf numFmtId="0" fontId="31" fillId="0" borderId="18" applyNumberFormat="0" applyFont="0" applyProtection="0">
      <alignment wrapText="1"/>
    </xf>
    <xf numFmtId="0" fontId="34" fillId="0" borderId="0" applyNumberFormat="0" applyProtection="0">
      <alignment horizontal="left"/>
    </xf>
    <xf numFmtId="0" fontId="29" fillId="16"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35" fillId="0" borderId="0" applyNumberFormat="0" applyFill="0" applyBorder="0" applyAlignment="0" applyProtection="0">
      <alignment vertical="top"/>
      <protection locked="0"/>
    </xf>
    <xf numFmtId="0" fontId="31" fillId="0" borderId="0" applyNumberFormat="0" applyFill="0" applyBorder="0" applyAlignment="0" applyProtection="0"/>
    <xf numFmtId="0" fontId="31" fillId="0" borderId="0" applyNumberFormat="0" applyProtection="0">
      <alignment vertical="top" wrapText="1"/>
    </xf>
    <xf numFmtId="0" fontId="31" fillId="0" borderId="19" applyNumberFormat="0" applyProtection="0">
      <alignment vertical="top" wrapText="1"/>
    </xf>
    <xf numFmtId="0" fontId="36" fillId="0" borderId="5" applyNumberFormat="0" applyProtection="0">
      <alignment wrapText="1"/>
    </xf>
    <xf numFmtId="0" fontId="36" fillId="0" borderId="20" applyNumberFormat="0" applyProtection="0">
      <alignment horizontal="left" wrapText="1"/>
    </xf>
    <xf numFmtId="0" fontId="37" fillId="0" borderId="0" applyNumberFormat="0" applyFill="0" applyBorder="0" applyAlignment="0" applyProtection="0">
      <alignment vertical="top"/>
      <protection locked="0"/>
    </xf>
    <xf numFmtId="0" fontId="38" fillId="8" borderId="0" applyNumberFormat="0" applyBorder="0" applyAlignment="0" applyProtection="0"/>
    <xf numFmtId="0" fontId="16" fillId="0" borderId="0"/>
    <xf numFmtId="0" fontId="36" fillId="0" borderId="21" applyNumberFormat="0" applyProtection="0">
      <alignment wrapText="1"/>
    </xf>
    <xf numFmtId="0" fontId="31" fillId="0" borderId="22" applyNumberFormat="0" applyFont="0" applyFill="0" applyProtection="0">
      <alignment wrapText="1"/>
    </xf>
    <xf numFmtId="0" fontId="36" fillId="0" borderId="23" applyNumberFormat="0" applyFill="0" applyProtection="0">
      <alignment wrapText="1"/>
    </xf>
    <xf numFmtId="0" fontId="39" fillId="0" borderId="0" applyNumberFormat="0" applyFill="0" applyBorder="0" applyAlignment="0" applyProtection="0"/>
    <xf numFmtId="0" fontId="43" fillId="0" borderId="0"/>
    <xf numFmtId="0" fontId="6" fillId="0" borderId="0"/>
    <xf numFmtId="0" fontId="6" fillId="0" borderId="0"/>
    <xf numFmtId="0" fontId="49" fillId="0" borderId="0"/>
    <xf numFmtId="0" fontId="50" fillId="0" borderId="0" applyNumberFormat="0" applyFill="0" applyBorder="0" applyAlignment="0" applyProtection="0">
      <alignment vertical="top"/>
      <protection locked="0"/>
    </xf>
    <xf numFmtId="170" fontId="6" fillId="0" borderId="0" applyFont="0" applyFill="0" applyBorder="0" applyAlignment="0" applyProtection="0"/>
    <xf numFmtId="0" fontId="51" fillId="0" borderId="0" applyNumberFormat="0" applyFill="0" applyBorder="0" applyAlignment="0" applyProtection="0">
      <alignment vertical="top"/>
      <protection locked="0"/>
    </xf>
    <xf numFmtId="0" fontId="47" fillId="0" borderId="0"/>
    <xf numFmtId="0" fontId="52"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203" fillId="0" borderId="0"/>
    <xf numFmtId="43" fontId="49" fillId="0" borderId="0" applyFont="0" applyFill="0" applyBorder="0" applyAlignment="0" applyProtection="0"/>
    <xf numFmtId="0" fontId="3" fillId="0" borderId="0"/>
    <xf numFmtId="0" fontId="199" fillId="0" borderId="0" applyNumberFormat="0" applyFill="0" applyBorder="0" applyAlignment="0" applyProtection="0"/>
  </cellStyleXfs>
  <cellXfs count="1602">
    <xf numFmtId="0" fontId="0" fillId="0" borderId="0" xfId="0"/>
    <xf numFmtId="0" fontId="0" fillId="0" borderId="0" xfId="0" applyAlignment="1">
      <alignment wrapText="1"/>
    </xf>
    <xf numFmtId="0" fontId="9" fillId="0" borderId="0" xfId="0" applyFont="1"/>
    <xf numFmtId="0" fontId="8" fillId="0" borderId="0" xfId="0" applyFont="1"/>
    <xf numFmtId="0" fontId="0" fillId="4" borderId="0" xfId="0" applyFill="1"/>
    <xf numFmtId="0" fontId="0" fillId="0" borderId="1" xfId="0" applyBorder="1"/>
    <xf numFmtId="0" fontId="0" fillId="4" borderId="0" xfId="0" applyFill="1" applyAlignment="1">
      <alignment vertical="center"/>
    </xf>
    <xf numFmtId="0" fontId="0" fillId="0" borderId="0" xfId="0" applyAlignment="1">
      <alignment horizontal="center"/>
    </xf>
    <xf numFmtId="0" fontId="13" fillId="0" borderId="0" xfId="2"/>
    <xf numFmtId="0" fontId="32" fillId="0" borderId="0" xfId="0" applyFont="1"/>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0" xfId="0" applyAlignment="1">
      <alignment horizontal="left" vertical="center" wrapText="1"/>
    </xf>
    <xf numFmtId="3" fontId="0" fillId="0" borderId="0" xfId="0" applyNumberFormat="1" applyAlignment="1">
      <alignment horizontal="center"/>
    </xf>
    <xf numFmtId="0" fontId="9" fillId="4" borderId="0" xfId="0" applyFont="1" applyFill="1"/>
    <xf numFmtId="0" fontId="9" fillId="0" borderId="0" xfId="0" applyFont="1" applyAlignment="1">
      <alignment horizontal="left" wrapText="1"/>
    </xf>
    <xf numFmtId="0" fontId="32" fillId="0" borderId="0" xfId="0" applyFont="1" applyAlignment="1">
      <alignment vertical="center" wrapText="1"/>
    </xf>
    <xf numFmtId="0" fontId="32" fillId="43" borderId="0" xfId="0" applyFont="1" applyFill="1"/>
    <xf numFmtId="2" fontId="32" fillId="0" borderId="0" xfId="0" applyNumberFormat="1" applyFont="1"/>
    <xf numFmtId="0" fontId="57" fillId="0" borderId="0" xfId="0" applyFont="1" applyAlignment="1">
      <alignment horizontal="left" wrapText="1"/>
    </xf>
    <xf numFmtId="170" fontId="32" fillId="0" borderId="0" xfId="64" applyFont="1"/>
    <xf numFmtId="0" fontId="47" fillId="0" borderId="0" xfId="0" applyFont="1" applyAlignment="1">
      <alignment horizontal="center"/>
    </xf>
    <xf numFmtId="0" fontId="46" fillId="4" borderId="0" xfId="0" applyFont="1" applyFill="1" applyAlignment="1">
      <alignment vertical="center"/>
    </xf>
    <xf numFmtId="0" fontId="42" fillId="39" borderId="0" xfId="0" applyFont="1" applyFill="1" applyAlignment="1" applyProtection="1">
      <alignment vertical="center"/>
      <protection hidden="1"/>
    </xf>
    <xf numFmtId="0" fontId="29" fillId="39" borderId="0" xfId="0" applyFont="1" applyFill="1" applyProtection="1">
      <protection hidden="1"/>
    </xf>
    <xf numFmtId="0" fontId="72" fillId="39" borderId="0" xfId="0" applyFont="1" applyFill="1" applyAlignment="1" applyProtection="1">
      <alignment horizontal="center"/>
      <protection hidden="1"/>
    </xf>
    <xf numFmtId="0" fontId="72" fillId="39" borderId="0" xfId="0" applyFont="1" applyFill="1" applyProtection="1">
      <protection hidden="1"/>
    </xf>
    <xf numFmtId="0" fontId="29" fillId="39" borderId="0" xfId="0" applyFont="1" applyFill="1" applyAlignment="1" applyProtection="1">
      <alignment horizontal="center"/>
      <protection hidden="1"/>
    </xf>
    <xf numFmtId="0" fontId="29" fillId="39" borderId="0" xfId="0" applyFont="1" applyFill="1" applyAlignment="1" applyProtection="1">
      <alignment horizontal="center" wrapText="1"/>
      <protection hidden="1"/>
    </xf>
    <xf numFmtId="0" fontId="72" fillId="39" borderId="0" xfId="0" applyFont="1" applyFill="1" applyAlignment="1" applyProtection="1">
      <alignment horizontal="left"/>
      <protection hidden="1"/>
    </xf>
    <xf numFmtId="0" fontId="0" fillId="0" borderId="0" xfId="0" applyProtection="1">
      <protection hidden="1"/>
    </xf>
    <xf numFmtId="0" fontId="62" fillId="40" borderId="0" xfId="0" applyFont="1" applyFill="1" applyProtection="1">
      <protection hidden="1"/>
    </xf>
    <xf numFmtId="0" fontId="0" fillId="40" borderId="0" xfId="0" applyFill="1" applyProtection="1">
      <protection hidden="1"/>
    </xf>
    <xf numFmtId="0" fontId="47" fillId="40" borderId="0" xfId="0" applyFont="1" applyFill="1" applyAlignment="1" applyProtection="1">
      <alignment horizontal="center"/>
      <protection hidden="1"/>
    </xf>
    <xf numFmtId="0" fontId="47" fillId="40" borderId="0" xfId="0" applyFont="1" applyFill="1" applyProtection="1">
      <protection hidden="1"/>
    </xf>
    <xf numFmtId="0" fontId="0" fillId="40" borderId="0" xfId="0" applyFill="1" applyAlignment="1" applyProtection="1">
      <alignment horizontal="center"/>
      <protection hidden="1"/>
    </xf>
    <xf numFmtId="0" fontId="0" fillId="40" borderId="0" xfId="0" applyFill="1" applyAlignment="1" applyProtection="1">
      <alignment horizontal="center" wrapText="1"/>
      <protection hidden="1"/>
    </xf>
    <xf numFmtId="0" fontId="47" fillId="40" borderId="0" xfId="0" applyFont="1" applyFill="1" applyAlignment="1" applyProtection="1">
      <alignment horizontal="left"/>
      <protection hidden="1"/>
    </xf>
    <xf numFmtId="0" fontId="16" fillId="40" borderId="0" xfId="0" quotePrefix="1" applyFont="1" applyFill="1" applyAlignment="1" applyProtection="1">
      <alignment horizontal="left" indent="1"/>
      <protection hidden="1"/>
    </xf>
    <xf numFmtId="0" fontId="76" fillId="0" borderId="0" xfId="0" quotePrefix="1" applyFont="1" applyProtection="1">
      <protection hidden="1"/>
    </xf>
    <xf numFmtId="0" fontId="16" fillId="40" borderId="0" xfId="0" quotePrefix="1" applyFont="1" applyFill="1" applyAlignment="1" applyProtection="1">
      <alignment vertical="top" wrapText="1"/>
      <protection hidden="1"/>
    </xf>
    <xf numFmtId="0" fontId="0" fillId="0" borderId="0" xfId="0" applyAlignment="1" applyProtection="1">
      <alignment wrapText="1"/>
      <protection hidden="1"/>
    </xf>
    <xf numFmtId="0" fontId="0" fillId="0" borderId="0" xfId="0" applyAlignment="1" applyProtection="1">
      <alignment horizontal="center"/>
      <protection hidden="1"/>
    </xf>
    <xf numFmtId="0" fontId="71" fillId="0" borderId="0" xfId="0" quotePrefix="1" applyFont="1" applyProtection="1">
      <protection hidden="1"/>
    </xf>
    <xf numFmtId="0" fontId="47" fillId="0" borderId="0" xfId="0" applyFont="1" applyAlignment="1" applyProtection="1">
      <alignment horizontal="center"/>
      <protection hidden="1"/>
    </xf>
    <xf numFmtId="0" fontId="47" fillId="0" borderId="0" xfId="0" applyFont="1" applyAlignment="1" applyProtection="1">
      <alignment wrapText="1"/>
      <protection hidden="1"/>
    </xf>
    <xf numFmtId="0" fontId="47" fillId="0" borderId="0" xfId="0" applyFont="1" applyAlignment="1" applyProtection="1">
      <alignment horizontal="left" wrapText="1"/>
      <protection hidden="1"/>
    </xf>
    <xf numFmtId="0" fontId="79" fillId="0" borderId="0" xfId="0" applyFont="1" applyAlignment="1" applyProtection="1">
      <alignment horizontal="center" vertical="center" wrapText="1"/>
      <protection hidden="1"/>
    </xf>
    <xf numFmtId="43" fontId="80" fillId="0" borderId="0" xfId="0" applyNumberFormat="1" applyFont="1" applyAlignment="1" applyProtection="1">
      <alignment horizontal="center" vertical="center" wrapText="1"/>
      <protection hidden="1"/>
    </xf>
    <xf numFmtId="0" fontId="71" fillId="0" borderId="0" xfId="0" applyFont="1" applyAlignment="1" applyProtection="1">
      <alignment horizontal="center" wrapText="1"/>
      <protection hidden="1"/>
    </xf>
    <xf numFmtId="9" fontId="0" fillId="0" borderId="0" xfId="1" applyFont="1" applyAlignment="1" applyProtection="1">
      <alignment horizontal="center"/>
      <protection hidden="1"/>
    </xf>
    <xf numFmtId="0" fontId="0" fillId="0" borderId="0" xfId="0" applyAlignment="1" applyProtection="1">
      <alignment horizontal="left"/>
      <protection hidden="1"/>
    </xf>
    <xf numFmtId="0" fontId="81" fillId="0" borderId="0" xfId="0" applyFont="1" applyAlignment="1" applyProtection="1">
      <alignment horizontal="center"/>
      <protection hidden="1"/>
    </xf>
    <xf numFmtId="0" fontId="9" fillId="0" borderId="0" xfId="0" applyFont="1" applyAlignment="1" applyProtection="1">
      <alignment horizontal="center"/>
      <protection hidden="1"/>
    </xf>
    <xf numFmtId="168" fontId="82" fillId="0" borderId="1" xfId="0" applyNumberFormat="1" applyFont="1" applyBorder="1" applyAlignment="1" applyProtection="1">
      <alignment horizontal="center" vertical="center" wrapText="1"/>
      <protection hidden="1"/>
    </xf>
    <xf numFmtId="0" fontId="8" fillId="0" borderId="0" xfId="0" applyFont="1" applyAlignment="1" applyProtection="1">
      <alignment horizontal="center" vertical="center" wrapText="1"/>
      <protection hidden="1"/>
    </xf>
    <xf numFmtId="0" fontId="0" fillId="0" borderId="1" xfId="0" applyBorder="1" applyProtection="1">
      <protection hidden="1"/>
    </xf>
    <xf numFmtId="0" fontId="80" fillId="0" borderId="0" xfId="0" applyFont="1" applyAlignment="1" applyProtection="1">
      <alignment vertical="center" wrapText="1"/>
      <protection hidden="1"/>
    </xf>
    <xf numFmtId="0" fontId="83" fillId="51" borderId="0" xfId="0" applyFont="1" applyFill="1" applyAlignment="1" applyProtection="1">
      <alignment vertical="top"/>
      <protection hidden="1"/>
    </xf>
    <xf numFmtId="4" fontId="56" fillId="39" borderId="42" xfId="0" applyNumberFormat="1" applyFont="1" applyFill="1" applyBorder="1" applyAlignment="1" applyProtection="1">
      <alignment horizontal="center" vertical="top" wrapText="1"/>
      <protection hidden="1"/>
    </xf>
    <xf numFmtId="4" fontId="56" fillId="39" borderId="42" xfId="0" applyNumberFormat="1" applyFont="1" applyFill="1" applyBorder="1" applyAlignment="1">
      <alignment horizontal="center" vertical="top" wrapText="1"/>
    </xf>
    <xf numFmtId="4" fontId="56" fillId="39" borderId="43" xfId="0" applyNumberFormat="1" applyFont="1" applyFill="1" applyBorder="1" applyAlignment="1" applyProtection="1">
      <alignment horizontal="center" vertical="top" wrapText="1"/>
      <protection hidden="1"/>
    </xf>
    <xf numFmtId="0" fontId="56" fillId="51" borderId="32" xfId="0" applyFont="1" applyFill="1" applyBorder="1" applyAlignment="1" applyProtection="1">
      <alignment horizontal="center" vertical="top" wrapText="1"/>
      <protection hidden="1"/>
    </xf>
    <xf numFmtId="0" fontId="83" fillId="51" borderId="0" xfId="0" applyFont="1" applyFill="1" applyAlignment="1" applyProtection="1">
      <alignment horizontal="center" vertical="top" wrapText="1"/>
      <protection hidden="1"/>
    </xf>
    <xf numFmtId="0" fontId="83" fillId="51" borderId="0" xfId="0" applyFont="1" applyFill="1" applyAlignment="1" applyProtection="1">
      <alignment horizontal="left" vertical="top" wrapText="1"/>
      <protection hidden="1"/>
    </xf>
    <xf numFmtId="0" fontId="83" fillId="51" borderId="0" xfId="0" applyFont="1" applyFill="1" applyAlignment="1" applyProtection="1">
      <alignment vertical="top" wrapText="1"/>
      <protection hidden="1"/>
    </xf>
    <xf numFmtId="0" fontId="29" fillId="51" borderId="0" xfId="0" applyFont="1" applyFill="1" applyProtection="1">
      <protection hidden="1"/>
    </xf>
    <xf numFmtId="0" fontId="29" fillId="51" borderId="0" xfId="0" applyFont="1" applyFill="1" applyAlignment="1" applyProtection="1">
      <alignment wrapText="1"/>
      <protection hidden="1"/>
    </xf>
    <xf numFmtId="0" fontId="0" fillId="0" borderId="44" xfId="0" applyBorder="1" applyAlignment="1" applyProtection="1">
      <alignment horizontal="left" vertical="center" wrapText="1"/>
      <protection hidden="1"/>
    </xf>
    <xf numFmtId="0" fontId="0" fillId="0" borderId="0" xfId="0" applyAlignment="1" applyProtection="1">
      <alignment horizontal="left" vertical="center" wrapText="1"/>
      <protection hidden="1"/>
    </xf>
    <xf numFmtId="175" fontId="0" fillId="0" borderId="0" xfId="68" applyNumberFormat="1" applyFont="1" applyAlignment="1" applyProtection="1">
      <alignment horizontal="left" vertical="center"/>
      <protection hidden="1"/>
    </xf>
    <xf numFmtId="0" fontId="47" fillId="0" borderId="0" xfId="0" applyFont="1" applyProtection="1">
      <protection hidden="1"/>
    </xf>
    <xf numFmtId="0" fontId="80" fillId="0" borderId="0" xfId="0" applyFont="1" applyAlignment="1">
      <alignment vertical="center" wrapText="1"/>
    </xf>
    <xf numFmtId="0" fontId="47" fillId="0" borderId="0" xfId="0" applyFont="1"/>
    <xf numFmtId="0" fontId="42" fillId="39" borderId="0" xfId="0" applyFont="1" applyFill="1" applyAlignment="1">
      <alignment vertical="center"/>
    </xf>
    <xf numFmtId="0" fontId="0" fillId="0" borderId="0" xfId="0" quotePrefix="1"/>
    <xf numFmtId="0" fontId="14" fillId="39" borderId="0" xfId="0" applyFont="1" applyFill="1" applyAlignment="1">
      <alignment vertical="center"/>
    </xf>
    <xf numFmtId="0" fontId="0" fillId="39" borderId="0" xfId="0" applyFill="1" applyAlignment="1">
      <alignment vertical="center"/>
    </xf>
    <xf numFmtId="0" fontId="88" fillId="39" borderId="0" xfId="0" applyFont="1" applyFill="1" applyAlignment="1">
      <alignment horizontal="left" vertical="center"/>
    </xf>
    <xf numFmtId="0" fontId="89" fillId="4" borderId="0" xfId="0" applyFont="1" applyFill="1" applyAlignment="1">
      <alignment vertical="center"/>
    </xf>
    <xf numFmtId="0" fontId="32" fillId="4" borderId="0" xfId="0" applyFont="1" applyFill="1"/>
    <xf numFmtId="0" fontId="33" fillId="4" borderId="0" xfId="0" applyFont="1" applyFill="1" applyAlignment="1">
      <alignment vertical="center"/>
    </xf>
    <xf numFmtId="0" fontId="0" fillId="4" borderId="0" xfId="0" applyFill="1" applyAlignment="1">
      <alignment vertical="top"/>
    </xf>
    <xf numFmtId="0" fontId="17" fillId="4" borderId="0" xfId="0" applyFont="1" applyFill="1" applyAlignment="1">
      <alignment vertical="center" wrapText="1"/>
    </xf>
    <xf numFmtId="0" fontId="59" fillId="4" borderId="0" xfId="0" applyFont="1" applyFill="1" applyAlignment="1">
      <alignment horizontal="left" vertical="center" indent="2"/>
    </xf>
    <xf numFmtId="0" fontId="15" fillId="4" borderId="0" xfId="0" applyFont="1" applyFill="1" applyAlignment="1">
      <alignment horizontal="left" vertical="center" indent="2"/>
    </xf>
    <xf numFmtId="0" fontId="32" fillId="0" borderId="49" xfId="0" applyFont="1" applyBorder="1" applyAlignment="1">
      <alignment vertical="center"/>
    </xf>
    <xf numFmtId="0" fontId="32" fillId="0" borderId="50" xfId="0" applyFont="1" applyBorder="1" applyAlignment="1">
      <alignment vertical="center" wrapText="1"/>
    </xf>
    <xf numFmtId="0" fontId="32" fillId="0" borderId="51" xfId="0" applyFont="1" applyBorder="1" applyAlignment="1">
      <alignment vertical="center" wrapText="1"/>
    </xf>
    <xf numFmtId="0" fontId="0" fillId="4" borderId="0" xfId="0" applyFill="1" applyAlignment="1">
      <alignment horizontal="left" vertical="center"/>
    </xf>
    <xf numFmtId="0" fontId="32" fillId="0" borderId="53" xfId="0" applyFont="1" applyBorder="1" applyAlignment="1">
      <alignment vertical="center"/>
    </xf>
    <xf numFmtId="0" fontId="32" fillId="0" borderId="54" xfId="0" applyFont="1" applyBorder="1" applyAlignment="1">
      <alignment vertical="center" wrapText="1"/>
    </xf>
    <xf numFmtId="0" fontId="32" fillId="0" borderId="55" xfId="0" applyFont="1" applyBorder="1" applyAlignment="1">
      <alignment vertical="center" wrapText="1"/>
    </xf>
    <xf numFmtId="0" fontId="32" fillId="0" borderId="53" xfId="0" applyFont="1" applyBorder="1" applyAlignment="1">
      <alignment vertical="center" wrapText="1"/>
    </xf>
    <xf numFmtId="0" fontId="32" fillId="0" borderId="56" xfId="0" applyFont="1" applyBorder="1" applyAlignment="1">
      <alignment vertical="center" wrapText="1"/>
    </xf>
    <xf numFmtId="0" fontId="92" fillId="0" borderId="53" xfId="0" applyFont="1" applyBorder="1" applyAlignment="1">
      <alignment vertical="center" wrapText="1"/>
    </xf>
    <xf numFmtId="0" fontId="92" fillId="0" borderId="56" xfId="0" applyFont="1" applyBorder="1" applyAlignment="1">
      <alignment vertical="center" wrapText="1"/>
    </xf>
    <xf numFmtId="0" fontId="32" fillId="4" borderId="52" xfId="0" applyFont="1" applyFill="1" applyBorder="1" applyAlignment="1">
      <alignment horizontal="left" vertical="center" wrapText="1"/>
    </xf>
    <xf numFmtId="0" fontId="32" fillId="0" borderId="60" xfId="0" applyFont="1" applyBorder="1" applyAlignment="1">
      <alignment vertical="center"/>
    </xf>
    <xf numFmtId="0" fontId="32" fillId="0" borderId="60" xfId="0" applyFont="1" applyBorder="1" applyAlignment="1">
      <alignment vertical="center" wrapText="1"/>
    </xf>
    <xf numFmtId="0" fontId="32" fillId="0" borderId="61" xfId="0" applyFont="1" applyBorder="1" applyAlignment="1">
      <alignment vertical="center" wrapText="1"/>
    </xf>
    <xf numFmtId="0" fontId="17" fillId="4" borderId="0" xfId="0" applyFont="1" applyFill="1" applyAlignment="1">
      <alignment vertical="top" wrapText="1"/>
    </xf>
    <xf numFmtId="0" fontId="13" fillId="0" borderId="0" xfId="2" applyAlignment="1">
      <alignment vertical="center"/>
    </xf>
    <xf numFmtId="4" fontId="0" fillId="0" borderId="0" xfId="0" applyNumberFormat="1" applyAlignment="1" applyProtection="1">
      <alignment horizontal="center"/>
      <protection hidden="1"/>
    </xf>
    <xf numFmtId="0" fontId="0" fillId="4" borderId="0" xfId="0" applyFill="1" applyProtection="1">
      <protection hidden="1"/>
    </xf>
    <xf numFmtId="0" fontId="32" fillId="4" borderId="0" xfId="0" applyFont="1" applyFill="1" applyProtection="1">
      <protection hidden="1"/>
    </xf>
    <xf numFmtId="0" fontId="40" fillId="0" borderId="0" xfId="0" applyFont="1" applyProtection="1">
      <protection hidden="1"/>
    </xf>
    <xf numFmtId="0" fontId="29" fillId="39" borderId="0" xfId="0" applyFont="1" applyFill="1"/>
    <xf numFmtId="4" fontId="29" fillId="39" borderId="0" xfId="0" applyNumberFormat="1" applyFont="1" applyFill="1"/>
    <xf numFmtId="0" fontId="62" fillId="40" borderId="0" xfId="0" applyFont="1" applyFill="1"/>
    <xf numFmtId="0" fontId="0" fillId="40" borderId="0" xfId="0" applyFill="1"/>
    <xf numFmtId="4" fontId="0" fillId="40" borderId="0" xfId="0" applyNumberFormat="1" applyFill="1"/>
    <xf numFmtId="0" fontId="16" fillId="40" borderId="0" xfId="0" quotePrefix="1" applyFont="1" applyFill="1" applyAlignment="1">
      <alignment horizontal="left" indent="1"/>
    </xf>
    <xf numFmtId="4" fontId="0" fillId="0" borderId="0" xfId="0" applyNumberFormat="1"/>
    <xf numFmtId="166" fontId="0" fillId="4" borderId="0" xfId="0" applyNumberFormat="1" applyFill="1"/>
    <xf numFmtId="4" fontId="10" fillId="0" borderId="0" xfId="0" applyNumberFormat="1" applyFont="1"/>
    <xf numFmtId="4" fontId="0" fillId="4" borderId="0" xfId="0" applyNumberFormat="1" applyFill="1"/>
    <xf numFmtId="0" fontId="0" fillId="0" borderId="0" xfId="0" applyProtection="1">
      <protection locked="0"/>
    </xf>
    <xf numFmtId="4" fontId="0" fillId="0" borderId="0" xfId="0" applyNumberFormat="1" applyProtection="1">
      <protection locked="0"/>
    </xf>
    <xf numFmtId="0" fontId="98" fillId="0" borderId="0" xfId="0" applyFont="1" applyProtection="1">
      <protection locked="0"/>
    </xf>
    <xf numFmtId="0" fontId="8" fillId="0" borderId="0" xfId="0" applyFont="1" applyProtection="1">
      <protection locked="0"/>
    </xf>
    <xf numFmtId="0" fontId="99" fillId="0" borderId="0" xfId="0" applyFont="1" applyProtection="1">
      <protection locked="0"/>
    </xf>
    <xf numFmtId="0" fontId="9" fillId="0" borderId="0" xfId="0" applyFont="1" applyProtection="1">
      <protection locked="0"/>
    </xf>
    <xf numFmtId="0" fontId="7" fillId="39" borderId="63" xfId="0" applyFont="1" applyFill="1" applyBorder="1" applyAlignment="1" applyProtection="1">
      <alignment horizontal="center"/>
      <protection locked="0"/>
    </xf>
    <xf numFmtId="0" fontId="7" fillId="39" borderId="64" xfId="0" applyFont="1" applyFill="1" applyBorder="1" applyProtection="1">
      <protection locked="0"/>
    </xf>
    <xf numFmtId="0" fontId="7" fillId="39" borderId="64" xfId="0" applyFont="1" applyFill="1" applyBorder="1" applyAlignment="1" applyProtection="1">
      <alignment wrapText="1"/>
      <protection locked="0"/>
    </xf>
    <xf numFmtId="4" fontId="7" fillId="39" borderId="42" xfId="0" applyNumberFormat="1" applyFont="1" applyFill="1" applyBorder="1" applyAlignment="1" applyProtection="1">
      <alignment horizontal="center" wrapText="1"/>
      <protection locked="0"/>
    </xf>
    <xf numFmtId="0" fontId="8" fillId="0" borderId="65" xfId="0" applyFont="1" applyBorder="1" applyAlignment="1" applyProtection="1">
      <alignment horizontal="center"/>
      <protection locked="0"/>
    </xf>
    <xf numFmtId="0" fontId="100" fillId="40" borderId="65" xfId="0" applyFont="1" applyFill="1" applyBorder="1" applyAlignment="1" applyProtection="1">
      <alignment horizontal="left" vertical="center"/>
      <protection locked="0"/>
    </xf>
    <xf numFmtId="0" fontId="100" fillId="40" borderId="65" xfId="0" applyFont="1" applyFill="1" applyBorder="1" applyAlignment="1" applyProtection="1">
      <alignment horizontal="left" vertical="center" wrapText="1"/>
      <protection locked="0"/>
    </xf>
    <xf numFmtId="176" fontId="100" fillId="40" borderId="65" xfId="0" applyNumberFormat="1" applyFont="1" applyFill="1" applyBorder="1" applyAlignment="1" applyProtection="1">
      <alignment horizontal="center" vertical="center"/>
      <protection locked="0"/>
    </xf>
    <xf numFmtId="164" fontId="100" fillId="40" borderId="65" xfId="0" applyNumberFormat="1" applyFont="1" applyFill="1" applyBorder="1" applyAlignment="1" applyProtection="1">
      <alignment horizontal="center" vertical="center" wrapText="1"/>
      <protection locked="0"/>
    </xf>
    <xf numFmtId="0" fontId="11" fillId="40" borderId="65" xfId="0" applyFont="1" applyFill="1" applyBorder="1" applyAlignment="1" applyProtection="1">
      <alignment horizontal="left" vertical="center"/>
      <protection locked="0"/>
    </xf>
    <xf numFmtId="0" fontId="11" fillId="40" borderId="65" xfId="0" applyFont="1" applyFill="1" applyBorder="1" applyAlignment="1" applyProtection="1">
      <alignment horizontal="left" vertical="center" wrapText="1"/>
      <protection locked="0"/>
    </xf>
    <xf numFmtId="176" fontId="11" fillId="40" borderId="65" xfId="0" applyNumberFormat="1" applyFont="1" applyFill="1" applyBorder="1" applyAlignment="1" applyProtection="1">
      <alignment horizontal="center" vertical="center"/>
      <protection locked="0"/>
    </xf>
    <xf numFmtId="164" fontId="11" fillId="40" borderId="65" xfId="0" applyNumberFormat="1" applyFont="1" applyFill="1" applyBorder="1" applyAlignment="1" applyProtection="1">
      <alignment horizontal="center" vertical="center" wrapText="1"/>
      <protection locked="0"/>
    </xf>
    <xf numFmtId="0" fontId="0" fillId="0" borderId="45" xfId="0" applyBorder="1" applyProtection="1">
      <protection locked="0"/>
    </xf>
    <xf numFmtId="0" fontId="0" fillId="0" borderId="45" xfId="0" applyBorder="1" applyAlignment="1" applyProtection="1">
      <alignment horizontal="right" vertical="center"/>
      <protection locked="0"/>
    </xf>
    <xf numFmtId="0" fontId="7" fillId="39" borderId="0" xfId="0" applyFont="1" applyFill="1" applyProtection="1">
      <protection locked="0"/>
    </xf>
    <xf numFmtId="4" fontId="11" fillId="40" borderId="65" xfId="0" applyNumberFormat="1" applyFont="1" applyFill="1" applyBorder="1" applyAlignment="1" applyProtection="1">
      <alignment horizontal="center" vertical="center"/>
      <protection locked="0"/>
    </xf>
    <xf numFmtId="0" fontId="15" fillId="0" borderId="0" xfId="0" applyFont="1" applyProtection="1">
      <protection locked="0"/>
    </xf>
    <xf numFmtId="0" fontId="0" fillId="0" borderId="0" xfId="0" applyAlignment="1" applyProtection="1">
      <alignment horizontal="right"/>
      <protection locked="0"/>
    </xf>
    <xf numFmtId="3" fontId="0" fillId="0" borderId="0" xfId="0" applyNumberFormat="1" applyAlignment="1" applyProtection="1">
      <alignment horizontal="center"/>
      <protection locked="0"/>
    </xf>
    <xf numFmtId="0" fontId="95" fillId="0" borderId="0" xfId="0" applyFont="1" applyProtection="1">
      <protection locked="0"/>
    </xf>
    <xf numFmtId="0" fontId="7" fillId="39" borderId="0" xfId="0" applyFont="1" applyFill="1" applyAlignment="1" applyProtection="1">
      <alignment horizontal="center"/>
      <protection locked="0"/>
    </xf>
    <xf numFmtId="0" fontId="7" fillId="39" borderId="0" xfId="0" applyFont="1" applyFill="1" applyAlignment="1" applyProtection="1">
      <alignment horizontal="center" wrapText="1"/>
      <protection locked="0"/>
    </xf>
    <xf numFmtId="0" fontId="8" fillId="0" borderId="44" xfId="0" applyFont="1" applyBorder="1" applyAlignment="1" applyProtection="1">
      <alignment horizontal="center"/>
      <protection locked="0"/>
    </xf>
    <xf numFmtId="0" fontId="100" fillId="40" borderId="44" xfId="0" applyFont="1" applyFill="1" applyBorder="1" applyProtection="1">
      <protection locked="0"/>
    </xf>
    <xf numFmtId="43" fontId="100" fillId="40" borderId="44" xfId="68" applyFont="1" applyFill="1" applyBorder="1" applyProtection="1">
      <protection locked="0"/>
    </xf>
    <xf numFmtId="43" fontId="100" fillId="40" borderId="44" xfId="68" applyFont="1" applyFill="1" applyBorder="1" applyAlignment="1" applyProtection="1">
      <alignment horizontal="left"/>
      <protection locked="0"/>
    </xf>
    <xf numFmtId="0" fontId="11" fillId="40" borderId="44" xfId="0" applyFont="1" applyFill="1" applyBorder="1" applyProtection="1">
      <protection locked="0"/>
    </xf>
    <xf numFmtId="43" fontId="11" fillId="40" borderId="44" xfId="68" applyFont="1" applyFill="1" applyBorder="1" applyProtection="1">
      <protection locked="0"/>
    </xf>
    <xf numFmtId="164" fontId="11" fillId="40" borderId="44" xfId="0" applyNumberFormat="1" applyFont="1" applyFill="1" applyBorder="1" applyAlignment="1" applyProtection="1">
      <alignment horizontal="center"/>
      <protection locked="0"/>
    </xf>
    <xf numFmtId="43" fontId="11" fillId="40" borderId="44" xfId="68" applyFont="1" applyFill="1" applyBorder="1" applyAlignment="1" applyProtection="1">
      <alignment horizontal="center"/>
      <protection locked="0"/>
    </xf>
    <xf numFmtId="176" fontId="11" fillId="40" borderId="44" xfId="0" applyNumberFormat="1" applyFont="1" applyFill="1" applyBorder="1" applyProtection="1">
      <protection locked="0"/>
    </xf>
    <xf numFmtId="0" fontId="11" fillId="0" borderId="70" xfId="0" applyFont="1" applyBorder="1" applyAlignment="1" applyProtection="1">
      <alignment horizontal="right"/>
      <protection locked="0"/>
    </xf>
    <xf numFmtId="0" fontId="7" fillId="39" borderId="0" xfId="0" applyFont="1" applyFill="1" applyAlignment="1" applyProtection="1">
      <alignment wrapText="1"/>
      <protection locked="0"/>
    </xf>
    <xf numFmtId="0" fontId="0" fillId="40" borderId="44" xfId="0" applyFill="1" applyBorder="1" applyProtection="1">
      <protection locked="0"/>
    </xf>
    <xf numFmtId="4" fontId="11" fillId="40" borderId="44" xfId="0" applyNumberFormat="1" applyFont="1" applyFill="1" applyBorder="1" applyAlignment="1" applyProtection="1">
      <alignment horizontal="center"/>
      <protection locked="0"/>
    </xf>
    <xf numFmtId="3" fontId="11" fillId="40" borderId="44" xfId="0" applyNumberFormat="1" applyFont="1" applyFill="1" applyBorder="1" applyAlignment="1" applyProtection="1">
      <alignment horizontal="center"/>
      <protection locked="0"/>
    </xf>
    <xf numFmtId="0" fontId="8" fillId="0" borderId="0" xfId="0" applyFont="1" applyAlignment="1" applyProtection="1">
      <alignment horizontal="center"/>
      <protection locked="0"/>
    </xf>
    <xf numFmtId="0" fontId="11" fillId="0" borderId="0" xfId="0" applyFont="1" applyProtection="1">
      <protection locked="0"/>
    </xf>
    <xf numFmtId="4" fontId="11" fillId="0" borderId="0" xfId="0" applyNumberFormat="1" applyFont="1" applyAlignment="1" applyProtection="1">
      <alignment horizontal="center"/>
      <protection locked="0"/>
    </xf>
    <xf numFmtId="3" fontId="11" fillId="0" borderId="0" xfId="0" applyNumberFormat="1" applyFont="1" applyAlignment="1" applyProtection="1">
      <alignment horizontal="center"/>
      <protection locked="0"/>
    </xf>
    <xf numFmtId="0" fontId="94" fillId="0" borderId="0" xfId="0" applyFont="1"/>
    <xf numFmtId="44" fontId="11" fillId="40" borderId="44" xfId="0" applyNumberFormat="1" applyFont="1" applyFill="1" applyBorder="1" applyProtection="1">
      <protection locked="0"/>
    </xf>
    <xf numFmtId="0" fontId="11" fillId="40" borderId="44" xfId="0" applyFont="1" applyFill="1" applyBorder="1" applyAlignment="1" applyProtection="1">
      <alignment horizontal="center"/>
      <protection locked="0"/>
    </xf>
    <xf numFmtId="3" fontId="0" fillId="40" borderId="44" xfId="0" applyNumberFormat="1" applyFill="1" applyBorder="1" applyAlignment="1" applyProtection="1">
      <alignment horizontal="center"/>
      <protection locked="0"/>
    </xf>
    <xf numFmtId="0" fontId="11" fillId="0" borderId="0" xfId="0" applyFont="1" applyAlignment="1" applyProtection="1">
      <alignment horizontal="right"/>
      <protection locked="0"/>
    </xf>
    <xf numFmtId="0" fontId="101" fillId="0" borderId="0" xfId="0" quotePrefix="1" applyFont="1" applyProtection="1">
      <protection locked="0"/>
    </xf>
    <xf numFmtId="0" fontId="81" fillId="0" borderId="0" xfId="0" applyFont="1" applyAlignment="1" applyProtection="1">
      <alignment horizontal="center"/>
      <protection locked="0"/>
    </xf>
    <xf numFmtId="39" fontId="100" fillId="0" borderId="44" xfId="0" applyNumberFormat="1" applyFont="1" applyBorder="1" applyAlignment="1" applyProtection="1">
      <alignment horizontal="center"/>
      <protection hidden="1"/>
    </xf>
    <xf numFmtId="39" fontId="11" fillId="0" borderId="44" xfId="0" applyNumberFormat="1" applyFont="1" applyBorder="1" applyAlignment="1" applyProtection="1">
      <alignment horizontal="center"/>
      <protection hidden="1"/>
    </xf>
    <xf numFmtId="0" fontId="0" fillId="0" borderId="74" xfId="0" applyBorder="1"/>
    <xf numFmtId="0" fontId="0" fillId="0" borderId="75" xfId="0" applyBorder="1" applyAlignment="1">
      <alignment wrapText="1"/>
    </xf>
    <xf numFmtId="0" fontId="0" fillId="0" borderId="76" xfId="0" applyBorder="1"/>
    <xf numFmtId="0" fontId="0" fillId="0" borderId="14" xfId="0" applyBorder="1" applyAlignment="1">
      <alignment horizontal="center" vertical="center"/>
    </xf>
    <xf numFmtId="0" fontId="0" fillId="0" borderId="15" xfId="0" applyBorder="1" applyAlignment="1">
      <alignment wrapText="1"/>
    </xf>
    <xf numFmtId="0" fontId="0" fillId="0" borderId="70" xfId="0" applyBorder="1" applyAlignment="1" applyProtection="1">
      <alignment horizontal="right"/>
      <protection locked="0"/>
    </xf>
    <xf numFmtId="3" fontId="0" fillId="0" borderId="71" xfId="0" applyNumberFormat="1" applyBorder="1" applyAlignment="1">
      <alignment horizontal="center"/>
    </xf>
    <xf numFmtId="0" fontId="8" fillId="0" borderId="0" xfId="0" applyFont="1" applyAlignment="1" applyProtection="1">
      <alignment horizontal="right"/>
      <protection locked="0"/>
    </xf>
    <xf numFmtId="0" fontId="102" fillId="0" borderId="0" xfId="0" applyFont="1"/>
    <xf numFmtId="0" fontId="103" fillId="0" borderId="0" xfId="0" applyFont="1"/>
    <xf numFmtId="0" fontId="104" fillId="0" borderId="0" xfId="0" applyFont="1"/>
    <xf numFmtId="0" fontId="106" fillId="0" borderId="0" xfId="0" applyFont="1"/>
    <xf numFmtId="0" fontId="108" fillId="0" borderId="0" xfId="0" applyFont="1" applyAlignment="1">
      <alignment vertical="center"/>
    </xf>
    <xf numFmtId="0" fontId="106" fillId="0" borderId="0" xfId="0" applyFont="1" applyAlignment="1">
      <alignment vertical="center"/>
    </xf>
    <xf numFmtId="0" fontId="109" fillId="0" borderId="0" xfId="0" applyFont="1" applyAlignment="1">
      <alignment horizontal="left" vertical="center"/>
    </xf>
    <xf numFmtId="0" fontId="103" fillId="0" borderId="0" xfId="0" applyFont="1" applyAlignment="1">
      <alignment horizontal="left" vertical="center"/>
    </xf>
    <xf numFmtId="0" fontId="105" fillId="0" borderId="0" xfId="0" applyFont="1"/>
    <xf numFmtId="0" fontId="104" fillId="0" borderId="0" xfId="0" applyFont="1" applyAlignment="1">
      <alignment vertical="center"/>
    </xf>
    <xf numFmtId="0" fontId="103" fillId="0" borderId="0" xfId="0" applyFont="1" applyAlignment="1">
      <alignment vertical="center"/>
    </xf>
    <xf numFmtId="0" fontId="110" fillId="0" borderId="0" xfId="0" applyFont="1" applyAlignment="1">
      <alignment horizontal="left" vertical="center"/>
    </xf>
    <xf numFmtId="0" fontId="112" fillId="0" borderId="0" xfId="0" applyFont="1" applyAlignment="1">
      <alignment horizontal="left" vertical="center"/>
    </xf>
    <xf numFmtId="0" fontId="103" fillId="0" borderId="0" xfId="0" applyFont="1" applyAlignment="1">
      <alignment horizontal="left" indent="1"/>
    </xf>
    <xf numFmtId="0" fontId="53" fillId="0" borderId="0" xfId="0" applyFont="1" applyAlignment="1">
      <alignment horizontal="left" vertical="center" indent="1"/>
    </xf>
    <xf numFmtId="0" fontId="53" fillId="0" borderId="0" xfId="0" applyFont="1" applyAlignment="1">
      <alignment vertical="center"/>
    </xf>
    <xf numFmtId="0" fontId="53" fillId="0" borderId="0" xfId="0" applyFont="1" applyAlignment="1">
      <alignment horizontal="left" vertical="center"/>
    </xf>
    <xf numFmtId="0" fontId="114" fillId="40" borderId="0" xfId="0" applyFont="1" applyFill="1"/>
    <xf numFmtId="0" fontId="16" fillId="40" borderId="0" xfId="0" quotePrefix="1" applyFont="1" applyFill="1" applyAlignment="1">
      <alignment horizontal="left" indent="2"/>
    </xf>
    <xf numFmtId="0" fontId="62" fillId="4" borderId="0" xfId="0" applyFont="1" applyFill="1"/>
    <xf numFmtId="0" fontId="16" fillId="4" borderId="0" xfId="0" quotePrefix="1" applyFont="1" applyFill="1" applyAlignment="1">
      <alignment horizontal="left" indent="1"/>
    </xf>
    <xf numFmtId="0" fontId="16" fillId="4" borderId="0" xfId="0" quotePrefix="1" applyFont="1" applyFill="1" applyAlignment="1">
      <alignment horizontal="left" indent="3"/>
    </xf>
    <xf numFmtId="0" fontId="98" fillId="0" borderId="0" xfId="0" applyFont="1"/>
    <xf numFmtId="0" fontId="99" fillId="0" borderId="0" xfId="0" applyFont="1"/>
    <xf numFmtId="0" fontId="7" fillId="39" borderId="0" xfId="0" applyFont="1" applyFill="1" applyAlignment="1">
      <alignment horizontal="center"/>
    </xf>
    <xf numFmtId="0" fontId="7" fillId="39" borderId="0" xfId="0" applyFont="1" applyFill="1"/>
    <xf numFmtId="0" fontId="8" fillId="0" borderId="44" xfId="0" applyFont="1" applyBorder="1" applyAlignment="1">
      <alignment horizontal="center"/>
    </xf>
    <xf numFmtId="3" fontId="100" fillId="40" borderId="44" xfId="0" applyNumberFormat="1" applyFont="1" applyFill="1" applyBorder="1" applyProtection="1">
      <protection locked="0"/>
    </xf>
    <xf numFmtId="164" fontId="100" fillId="0" borderId="44" xfId="0" applyNumberFormat="1" applyFont="1" applyBorder="1" applyAlignment="1" applyProtection="1">
      <alignment horizontal="center"/>
      <protection hidden="1"/>
    </xf>
    <xf numFmtId="4" fontId="100" fillId="0" borderId="44" xfId="0" applyNumberFormat="1" applyFont="1" applyBorder="1" applyAlignment="1" applyProtection="1">
      <alignment horizontal="center"/>
      <protection hidden="1"/>
    </xf>
    <xf numFmtId="3" fontId="11" fillId="40" borderId="44" xfId="0" applyNumberFormat="1" applyFont="1" applyFill="1" applyBorder="1" applyProtection="1">
      <protection locked="0"/>
    </xf>
    <xf numFmtId="164" fontId="11" fillId="0" borderId="44" xfId="0" applyNumberFormat="1" applyFont="1" applyBorder="1" applyAlignment="1" applyProtection="1">
      <alignment horizontal="center"/>
      <protection hidden="1"/>
    </xf>
    <xf numFmtId="4" fontId="11" fillId="0" borderId="44" xfId="0" applyNumberFormat="1" applyFont="1" applyBorder="1" applyAlignment="1" applyProtection="1">
      <alignment horizontal="center"/>
      <protection hidden="1"/>
    </xf>
    <xf numFmtId="0" fontId="8" fillId="0" borderId="70" xfId="0" applyFont="1" applyBorder="1" applyAlignment="1">
      <alignment horizontal="right"/>
    </xf>
    <xf numFmtId="0" fontId="7" fillId="39" borderId="0" xfId="0" applyFont="1" applyFill="1" applyAlignment="1">
      <alignment wrapText="1"/>
    </xf>
    <xf numFmtId="0" fontId="7" fillId="39" borderId="0" xfId="0" applyFont="1" applyFill="1" applyAlignment="1">
      <alignment horizontal="center" wrapText="1"/>
    </xf>
    <xf numFmtId="3" fontId="11" fillId="0" borderId="44" xfId="0" applyNumberFormat="1" applyFont="1" applyBorder="1" applyAlignment="1" applyProtection="1">
      <alignment horizontal="center"/>
      <protection hidden="1"/>
    </xf>
    <xf numFmtId="0" fontId="0" fillId="0" borderId="70" xfId="0" applyBorder="1" applyAlignment="1">
      <alignment horizontal="right"/>
    </xf>
    <xf numFmtId="0" fontId="0" fillId="40" borderId="0" xfId="0" applyFill="1" applyAlignment="1">
      <alignment horizontal="center"/>
    </xf>
    <xf numFmtId="0" fontId="74" fillId="40" borderId="0" xfId="0" quotePrefix="1" applyFont="1" applyFill="1" applyAlignment="1">
      <alignment horizontal="left" vertical="top" indent="1"/>
    </xf>
    <xf numFmtId="0" fontId="16" fillId="40" borderId="0" xfId="0" quotePrefix="1" applyFont="1" applyFill="1" applyAlignment="1">
      <alignment vertical="top" wrapText="1"/>
    </xf>
    <xf numFmtId="0" fontId="0" fillId="0" borderId="0" xfId="0" applyAlignment="1">
      <alignment horizontal="left"/>
    </xf>
    <xf numFmtId="0" fontId="79" fillId="0" borderId="0" xfId="0" applyFont="1" applyAlignment="1">
      <alignment horizontal="center" vertical="center" wrapText="1"/>
    </xf>
    <xf numFmtId="0" fontId="81" fillId="0" borderId="0" xfId="0" applyFont="1" applyAlignment="1">
      <alignment horizontal="center"/>
    </xf>
    <xf numFmtId="0" fontId="8" fillId="0" borderId="0" xfId="0" applyFont="1" applyAlignment="1">
      <alignment horizontal="center" vertical="center" wrapText="1"/>
    </xf>
    <xf numFmtId="0" fontId="56" fillId="51" borderId="32" xfId="0" applyFont="1" applyFill="1" applyBorder="1"/>
    <xf numFmtId="4" fontId="56" fillId="39" borderId="77" xfId="0" applyNumberFormat="1" applyFont="1" applyFill="1" applyBorder="1" applyAlignment="1">
      <alignment horizontal="center" wrapText="1"/>
    </xf>
    <xf numFmtId="4" fontId="56" fillId="39" borderId="63" xfId="0" applyNumberFormat="1" applyFont="1" applyFill="1" applyBorder="1" applyAlignment="1">
      <alignment horizontal="center" wrapText="1"/>
    </xf>
    <xf numFmtId="0" fontId="56" fillId="51" borderId="39" xfId="0" applyFont="1" applyFill="1" applyBorder="1" applyAlignment="1">
      <alignment horizontal="center" wrapText="1"/>
    </xf>
    <xf numFmtId="0" fontId="56" fillId="51" borderId="32" xfId="0" applyFont="1" applyFill="1" applyBorder="1" applyAlignment="1">
      <alignment wrapText="1"/>
    </xf>
    <xf numFmtId="0" fontId="0" fillId="0" borderId="44" xfId="0" applyBorder="1" applyAlignment="1" applyProtection="1">
      <alignment wrapText="1"/>
      <protection hidden="1"/>
    </xf>
    <xf numFmtId="0" fontId="29" fillId="39" borderId="0" xfId="0" applyFont="1" applyFill="1" applyAlignment="1">
      <alignment vertical="center"/>
    </xf>
    <xf numFmtId="39" fontId="0" fillId="0" borderId="0" xfId="0" applyNumberFormat="1"/>
    <xf numFmtId="0" fontId="41" fillId="0" borderId="0" xfId="0" quotePrefix="1" applyFont="1"/>
    <xf numFmtId="0" fontId="73" fillId="40" borderId="0" xfId="0" quotePrefix="1" applyFont="1" applyFill="1" applyAlignment="1">
      <alignment horizontal="left" indent="1"/>
    </xf>
    <xf numFmtId="0" fontId="95" fillId="0" borderId="0" xfId="0" applyFont="1"/>
    <xf numFmtId="0" fontId="115" fillId="0" borderId="0" xfId="0" applyFont="1" applyAlignment="1">
      <alignment horizontal="left" wrapText="1" indent="2"/>
    </xf>
    <xf numFmtId="0" fontId="100" fillId="40" borderId="44" xfId="0" applyFont="1" applyFill="1" applyBorder="1"/>
    <xf numFmtId="4" fontId="100" fillId="40" borderId="44" xfId="0" applyNumberFormat="1" applyFont="1" applyFill="1" applyBorder="1" applyAlignment="1" applyProtection="1">
      <alignment horizontal="center"/>
      <protection locked="0"/>
    </xf>
    <xf numFmtId="3" fontId="100" fillId="0" borderId="44" xfId="0" applyNumberFormat="1" applyFont="1" applyBorder="1" applyAlignment="1" applyProtection="1">
      <alignment horizontal="center"/>
      <protection hidden="1"/>
    </xf>
    <xf numFmtId="4" fontId="0" fillId="40" borderId="44" xfId="0" applyNumberFormat="1" applyFill="1" applyBorder="1" applyAlignment="1" applyProtection="1">
      <alignment horizontal="center"/>
      <protection locked="0"/>
    </xf>
    <xf numFmtId="167" fontId="0" fillId="0" borderId="71" xfId="0" applyNumberFormat="1" applyBorder="1" applyAlignment="1">
      <alignment horizontal="center"/>
    </xf>
    <xf numFmtId="39" fontId="0" fillId="40" borderId="0" xfId="0" applyNumberFormat="1" applyFill="1"/>
    <xf numFmtId="0" fontId="16" fillId="0" borderId="0" xfId="0" quotePrefix="1" applyFont="1" applyAlignment="1">
      <alignment horizontal="left" indent="1"/>
    </xf>
    <xf numFmtId="0" fontId="101" fillId="0" borderId="0" xfId="0" quotePrefix="1" applyFont="1"/>
    <xf numFmtId="0" fontId="0" fillId="0" borderId="0" xfId="0" applyAlignment="1">
      <alignment horizontal="right"/>
    </xf>
    <xf numFmtId="0" fontId="62" fillId="40" borderId="0" xfId="0" quotePrefix="1" applyFont="1" applyFill="1" applyAlignment="1">
      <alignment horizontal="left" indent="1"/>
    </xf>
    <xf numFmtId="0" fontId="62" fillId="40" borderId="0" xfId="0" quotePrefix="1" applyFont="1" applyFill="1" applyAlignment="1">
      <alignment horizontal="left" indent="2"/>
    </xf>
    <xf numFmtId="0" fontId="11" fillId="0" borderId="44" xfId="0" applyFont="1" applyBorder="1" applyAlignment="1" applyProtection="1">
      <alignment horizontal="center"/>
      <protection hidden="1"/>
    </xf>
    <xf numFmtId="0" fontId="100" fillId="0" borderId="44" xfId="0" applyFont="1" applyBorder="1" applyAlignment="1" applyProtection="1">
      <alignment horizontal="center"/>
      <protection hidden="1"/>
    </xf>
    <xf numFmtId="0" fontId="16" fillId="40" borderId="0" xfId="0" quotePrefix="1" applyFont="1" applyFill="1" applyAlignment="1">
      <alignment horizontal="left" indent="3"/>
    </xf>
    <xf numFmtId="0" fontId="73" fillId="40" borderId="0" xfId="0" quotePrefix="1" applyFont="1" applyFill="1" applyAlignment="1">
      <alignment horizontal="left" indent="3"/>
    </xf>
    <xf numFmtId="3" fontId="100" fillId="40" borderId="44" xfId="0" applyNumberFormat="1" applyFont="1" applyFill="1" applyBorder="1" applyAlignment="1" applyProtection="1">
      <alignment horizontal="center"/>
      <protection locked="0"/>
    </xf>
    <xf numFmtId="0" fontId="100" fillId="40" borderId="44" xfId="0" applyFont="1" applyFill="1" applyBorder="1" applyAlignment="1" applyProtection="1">
      <alignment horizontal="center"/>
      <protection locked="0"/>
    </xf>
    <xf numFmtId="0" fontId="0" fillId="40" borderId="44" xfId="0" applyFill="1" applyBorder="1" applyAlignment="1" applyProtection="1">
      <alignment horizontal="center"/>
      <protection locked="0"/>
    </xf>
    <xf numFmtId="0" fontId="10" fillId="0" borderId="70" xfId="0" applyFont="1" applyBorder="1" applyAlignment="1">
      <alignment horizontal="right"/>
    </xf>
    <xf numFmtId="3" fontId="10" fillId="0" borderId="71" xfId="0" applyNumberFormat="1" applyFont="1" applyBorder="1" applyAlignment="1" applyProtection="1">
      <alignment horizontal="center"/>
      <protection locked="0"/>
    </xf>
    <xf numFmtId="3" fontId="0" fillId="40" borderId="44" xfId="0" applyNumberFormat="1" applyFill="1" applyBorder="1" applyProtection="1">
      <protection locked="0"/>
    </xf>
    <xf numFmtId="0" fontId="10" fillId="0" borderId="0" xfId="0" applyFont="1"/>
    <xf numFmtId="177" fontId="0" fillId="0" borderId="0" xfId="68" applyNumberFormat="1" applyFont="1"/>
    <xf numFmtId="0" fontId="114" fillId="40" borderId="0" xfId="0" applyFont="1" applyFill="1" applyProtection="1">
      <protection hidden="1"/>
    </xf>
    <xf numFmtId="0" fontId="16" fillId="40" borderId="0" xfId="0" quotePrefix="1" applyFont="1" applyFill="1" applyAlignment="1" applyProtection="1">
      <alignment horizontal="left" indent="3"/>
      <protection hidden="1"/>
    </xf>
    <xf numFmtId="0" fontId="73" fillId="40" borderId="0" xfId="0" quotePrefix="1" applyFont="1" applyFill="1" applyAlignment="1" applyProtection="1">
      <alignment horizontal="left" indent="3"/>
      <protection hidden="1"/>
    </xf>
    <xf numFmtId="0" fontId="0" fillId="52" borderId="0" xfId="0" applyFill="1" applyProtection="1">
      <protection hidden="1"/>
    </xf>
    <xf numFmtId="0" fontId="95" fillId="0" borderId="0" xfId="0" applyFont="1" applyProtection="1">
      <protection hidden="1"/>
    </xf>
    <xf numFmtId="0" fontId="98" fillId="0" borderId="0" xfId="0" applyFont="1" applyProtection="1">
      <protection hidden="1"/>
    </xf>
    <xf numFmtId="0" fontId="99" fillId="0" borderId="0" xfId="0" applyFont="1" applyProtection="1">
      <protection hidden="1"/>
    </xf>
    <xf numFmtId="0" fontId="10" fillId="52" borderId="0" xfId="0" applyFont="1" applyFill="1" applyProtection="1">
      <protection hidden="1"/>
    </xf>
    <xf numFmtId="0" fontId="9" fillId="0" borderId="0" xfId="0" applyFont="1" applyProtection="1">
      <protection hidden="1"/>
    </xf>
    <xf numFmtId="0" fontId="7" fillId="39" borderId="0" xfId="0" applyFont="1" applyFill="1" applyAlignment="1" applyProtection="1">
      <alignment horizontal="center"/>
      <protection hidden="1"/>
    </xf>
    <xf numFmtId="0" fontId="7" fillId="39" borderId="0" xfId="0" applyFont="1" applyFill="1" applyProtection="1">
      <protection hidden="1"/>
    </xf>
    <xf numFmtId="0" fontId="8" fillId="0" borderId="44" xfId="0" applyFont="1" applyBorder="1" applyAlignment="1" applyProtection="1">
      <alignment horizontal="center"/>
      <protection hidden="1"/>
    </xf>
    <xf numFmtId="44" fontId="100" fillId="40" borderId="44" xfId="0" applyNumberFormat="1" applyFont="1" applyFill="1" applyBorder="1" applyProtection="1">
      <protection locked="0"/>
    </xf>
    <xf numFmtId="37" fontId="100" fillId="40" borderId="44" xfId="0" applyNumberFormat="1" applyFont="1" applyFill="1" applyBorder="1" applyAlignment="1" applyProtection="1">
      <alignment horizontal="center"/>
      <protection locked="0"/>
    </xf>
    <xf numFmtId="37" fontId="100" fillId="0" borderId="44" xfId="0" applyNumberFormat="1" applyFont="1" applyBorder="1" applyAlignment="1" applyProtection="1">
      <alignment horizontal="center"/>
      <protection hidden="1"/>
    </xf>
    <xf numFmtId="44" fontId="0" fillId="40" borderId="44" xfId="0" applyNumberFormat="1" applyFill="1" applyBorder="1" applyProtection="1">
      <protection locked="0"/>
    </xf>
    <xf numFmtId="37" fontId="0" fillId="40" borderId="44" xfId="0" applyNumberFormat="1" applyFill="1" applyBorder="1" applyAlignment="1" applyProtection="1">
      <alignment horizontal="center"/>
      <protection locked="0"/>
    </xf>
    <xf numFmtId="37" fontId="0" fillId="0" borderId="44" xfId="0" applyNumberFormat="1" applyBorder="1" applyAlignment="1" applyProtection="1">
      <alignment horizontal="center"/>
      <protection hidden="1"/>
    </xf>
    <xf numFmtId="0" fontId="0" fillId="0" borderId="70" xfId="0" applyBorder="1" applyAlignment="1" applyProtection="1">
      <alignment horizontal="right"/>
      <protection hidden="1"/>
    </xf>
    <xf numFmtId="0" fontId="0" fillId="0" borderId="0" xfId="0" applyAlignment="1" applyProtection="1">
      <alignment horizontal="right"/>
      <protection hidden="1"/>
    </xf>
    <xf numFmtId="3" fontId="0" fillId="0" borderId="0" xfId="0" applyNumberFormat="1" applyAlignment="1" applyProtection="1">
      <alignment horizontal="center"/>
      <protection hidden="1"/>
    </xf>
    <xf numFmtId="0" fontId="74" fillId="40" borderId="0" xfId="0" quotePrefix="1" applyFont="1" applyFill="1" applyAlignment="1">
      <alignment horizontal="left" indent="1"/>
    </xf>
    <xf numFmtId="3" fontId="100" fillId="0" borderId="44" xfId="0" applyNumberFormat="1" applyFont="1" applyBorder="1" applyAlignment="1">
      <alignment horizontal="center"/>
    </xf>
    <xf numFmtId="37" fontId="100" fillId="40" borderId="44" xfId="68" applyNumberFormat="1" applyFont="1" applyFill="1" applyBorder="1" applyAlignment="1" applyProtection="1">
      <alignment horizontal="center"/>
      <protection locked="0"/>
    </xf>
    <xf numFmtId="178" fontId="116" fillId="0" borderId="44" xfId="0" applyNumberFormat="1" applyFont="1" applyBorder="1" applyAlignment="1">
      <alignment horizontal="center"/>
    </xf>
    <xf numFmtId="0" fontId="0" fillId="49" borderId="0" xfId="0" applyFill="1"/>
    <xf numFmtId="0" fontId="74" fillId="40" borderId="0" xfId="0" quotePrefix="1" applyFont="1" applyFill="1" applyAlignment="1" applyProtection="1">
      <alignment horizontal="left" indent="3"/>
      <protection hidden="1"/>
    </xf>
    <xf numFmtId="0" fontId="7" fillId="39" borderId="0" xfId="0" applyFont="1" applyFill="1" applyAlignment="1" applyProtection="1">
      <alignment horizontal="center" wrapText="1"/>
      <protection hidden="1"/>
    </xf>
    <xf numFmtId="4" fontId="0" fillId="0" borderId="71" xfId="0" applyNumberFormat="1" applyBorder="1" applyAlignment="1">
      <alignment horizontal="center"/>
    </xf>
    <xf numFmtId="0" fontId="8" fillId="0" borderId="0" xfId="0" applyFont="1" applyAlignment="1">
      <alignment horizontal="center"/>
    </xf>
    <xf numFmtId="0" fontId="74" fillId="40" borderId="0" xfId="0" quotePrefix="1" applyFont="1" applyFill="1" applyAlignment="1" applyProtection="1">
      <alignment horizontal="left" indent="1"/>
      <protection hidden="1"/>
    </xf>
    <xf numFmtId="0" fontId="62" fillId="40" borderId="0" xfId="0" quotePrefix="1" applyFont="1" applyFill="1" applyAlignment="1" applyProtection="1">
      <alignment horizontal="left" indent="1"/>
      <protection hidden="1"/>
    </xf>
    <xf numFmtId="166" fontId="0" fillId="4" borderId="0" xfId="0" applyNumberFormat="1" applyFill="1" applyProtection="1">
      <protection hidden="1"/>
    </xf>
    <xf numFmtId="0" fontId="7" fillId="39" borderId="0" xfId="0" applyFont="1" applyFill="1" applyAlignment="1" applyProtection="1">
      <alignment wrapText="1"/>
      <protection hidden="1"/>
    </xf>
    <xf numFmtId="5" fontId="100" fillId="40" borderId="44" xfId="0" applyNumberFormat="1" applyFont="1" applyFill="1" applyBorder="1" applyProtection="1">
      <protection locked="0"/>
    </xf>
    <xf numFmtId="9" fontId="100" fillId="40" borderId="44" xfId="1" applyFont="1" applyFill="1" applyBorder="1" applyProtection="1">
      <protection locked="0"/>
    </xf>
    <xf numFmtId="0" fontId="13" fillId="0" borderId="0" xfId="2" applyAlignment="1" applyProtection="1">
      <alignment wrapText="1"/>
      <protection hidden="1"/>
    </xf>
    <xf numFmtId="5" fontId="11" fillId="40" borderId="44" xfId="0" applyNumberFormat="1" applyFont="1" applyFill="1" applyBorder="1" applyProtection="1">
      <protection locked="0"/>
    </xf>
    <xf numFmtId="9" fontId="11" fillId="40" borderId="44" xfId="1" applyFont="1" applyFill="1" applyBorder="1" applyProtection="1">
      <protection locked="0"/>
    </xf>
    <xf numFmtId="3" fontId="0" fillId="0" borderId="62" xfId="0" applyNumberFormat="1" applyBorder="1" applyAlignment="1">
      <alignment horizontal="center" vertical="center"/>
    </xf>
    <xf numFmtId="0" fontId="8" fillId="45" borderId="30" xfId="0" applyFont="1" applyFill="1" applyBorder="1" applyAlignment="1">
      <alignment horizontal="left" vertical="center" wrapText="1"/>
    </xf>
    <xf numFmtId="0" fontId="8" fillId="45" borderId="88" xfId="0" applyFont="1" applyFill="1" applyBorder="1" applyAlignment="1">
      <alignment horizontal="left" vertical="center"/>
    </xf>
    <xf numFmtId="0" fontId="8" fillId="45" borderId="1" xfId="0" applyFont="1" applyFill="1" applyBorder="1" applyAlignment="1">
      <alignment horizontal="left" vertical="center" wrapText="1"/>
    </xf>
    <xf numFmtId="0" fontId="32" fillId="0" borderId="1" xfId="0" applyFont="1" applyBorder="1" applyAlignment="1">
      <alignment wrapText="1"/>
    </xf>
    <xf numFmtId="0" fontId="32" fillId="0" borderId="0" xfId="0" applyFont="1" applyAlignment="1">
      <alignment wrapText="1"/>
    </xf>
    <xf numFmtId="0" fontId="139" fillId="39" borderId="0" xfId="0" applyFont="1" applyFill="1" applyAlignment="1">
      <alignment vertical="center"/>
    </xf>
    <xf numFmtId="0" fontId="140" fillId="39" borderId="0" xfId="0" applyFont="1" applyFill="1"/>
    <xf numFmtId="0" fontId="141" fillId="39" borderId="0" xfId="0" applyFont="1" applyFill="1"/>
    <xf numFmtId="0" fontId="141" fillId="0" borderId="0" xfId="0" applyFont="1"/>
    <xf numFmtId="0" fontId="142" fillId="0" borderId="0" xfId="0" applyFont="1"/>
    <xf numFmtId="0" fontId="115" fillId="0" borderId="0" xfId="0" applyFont="1"/>
    <xf numFmtId="0" fontId="144" fillId="0" borderId="0" xfId="2" applyFont="1" applyAlignment="1">
      <alignment horizontal="left" indent="1"/>
    </xf>
    <xf numFmtId="0" fontId="141" fillId="0" borderId="0" xfId="0" applyFont="1" applyAlignment="1">
      <alignment horizontal="left" indent="1"/>
    </xf>
    <xf numFmtId="0" fontId="141" fillId="0" borderId="0" xfId="0" quotePrefix="1" applyFont="1" applyAlignment="1">
      <alignment horizontal="left" indent="1"/>
    </xf>
    <xf numFmtId="0" fontId="144" fillId="0" borderId="0" xfId="2" applyFont="1"/>
    <xf numFmtId="0" fontId="0" fillId="0" borderId="74" xfId="0" applyBorder="1" applyAlignment="1">
      <alignment wrapText="1"/>
    </xf>
    <xf numFmtId="0" fontId="55" fillId="40" borderId="63" xfId="0" applyFont="1" applyFill="1" applyBorder="1" applyAlignment="1" applyProtection="1">
      <alignment horizontal="center" vertical="center"/>
      <protection locked="0"/>
    </xf>
    <xf numFmtId="0" fontId="55" fillId="40" borderId="67" xfId="0" applyFont="1" applyFill="1" applyBorder="1" applyAlignment="1" applyProtection="1">
      <alignment horizontal="center" vertical="center"/>
      <protection locked="0"/>
    </xf>
    <xf numFmtId="168" fontId="47" fillId="0" borderId="44" xfId="0" applyNumberFormat="1" applyFont="1" applyBorder="1" applyAlignment="1" applyProtection="1">
      <alignment horizontal="center" vertical="center"/>
      <protection hidden="1"/>
    </xf>
    <xf numFmtId="174" fontId="47" fillId="0" borderId="44" xfId="68" applyNumberFormat="1" applyFont="1" applyFill="1" applyBorder="1" applyAlignment="1" applyProtection="1">
      <alignment horizontal="left" vertical="center"/>
      <protection hidden="1"/>
    </xf>
    <xf numFmtId="0" fontId="47" fillId="0" borderId="44" xfId="0" applyFont="1" applyBorder="1" applyAlignment="1" applyProtection="1">
      <alignment horizontal="center" vertical="center" wrapText="1"/>
      <protection hidden="1"/>
    </xf>
    <xf numFmtId="0" fontId="55" fillId="40" borderId="44" xfId="0" applyFont="1" applyFill="1" applyBorder="1" applyAlignment="1" applyProtection="1">
      <alignment horizontal="center" vertical="center"/>
      <protection locked="0"/>
    </xf>
    <xf numFmtId="0" fontId="55" fillId="40" borderId="44" xfId="0" applyFont="1" applyFill="1" applyBorder="1" applyAlignment="1">
      <alignment horizontal="center" vertical="center" wrapText="1"/>
    </xf>
    <xf numFmtId="9" fontId="47" fillId="0" borderId="44" xfId="1" applyFont="1" applyBorder="1" applyAlignment="1" applyProtection="1">
      <alignment horizontal="center" vertical="center"/>
      <protection hidden="1"/>
    </xf>
    <xf numFmtId="0" fontId="55" fillId="40" borderId="44" xfId="0" applyFont="1" applyFill="1" applyBorder="1" applyAlignment="1" applyProtection="1">
      <alignment horizontal="center" vertical="center" wrapText="1"/>
      <protection locked="0"/>
    </xf>
    <xf numFmtId="0" fontId="76" fillId="0" borderId="0" xfId="0" applyFont="1"/>
    <xf numFmtId="0" fontId="100" fillId="40" borderId="44" xfId="68" applyNumberFormat="1" applyFont="1" applyFill="1" applyBorder="1" applyProtection="1">
      <protection locked="0"/>
    </xf>
    <xf numFmtId="0" fontId="11" fillId="40" borderId="44" xfId="68" applyNumberFormat="1" applyFont="1" applyFill="1" applyBorder="1" applyProtection="1">
      <protection locked="0"/>
    </xf>
    <xf numFmtId="0" fontId="7" fillId="45" borderId="0" xfId="0" applyFont="1" applyFill="1" applyProtection="1">
      <protection locked="0"/>
    </xf>
    <xf numFmtId="0" fontId="7" fillId="45" borderId="0" xfId="0" applyFont="1" applyFill="1" applyAlignment="1" applyProtection="1">
      <alignment horizontal="center" wrapText="1"/>
      <protection locked="0"/>
    </xf>
    <xf numFmtId="176" fontId="11" fillId="56" borderId="44" xfId="0" applyNumberFormat="1" applyFont="1" applyFill="1" applyBorder="1" applyProtection="1">
      <protection locked="0"/>
    </xf>
    <xf numFmtId="0" fontId="11" fillId="56" borderId="44" xfId="0" applyFont="1" applyFill="1" applyBorder="1" applyProtection="1">
      <protection locked="0"/>
    </xf>
    <xf numFmtId="164" fontId="11" fillId="56" borderId="44" xfId="0" applyNumberFormat="1" applyFont="1" applyFill="1" applyBorder="1" applyAlignment="1" applyProtection="1">
      <alignment horizontal="center"/>
      <protection locked="0"/>
    </xf>
    <xf numFmtId="0" fontId="58" fillId="45" borderId="0" xfId="0" applyFont="1" applyFill="1" applyAlignment="1" applyProtection="1">
      <alignment horizontal="left"/>
      <protection locked="0"/>
    </xf>
    <xf numFmtId="0" fontId="11" fillId="40" borderId="65" xfId="0" applyFont="1" applyFill="1" applyBorder="1" applyAlignment="1" applyProtection="1">
      <alignment horizontal="center" vertical="center" wrapText="1"/>
      <protection locked="0"/>
    </xf>
    <xf numFmtId="43" fontId="100" fillId="0" borderId="44" xfId="68" applyFont="1" applyFill="1" applyBorder="1" applyAlignment="1" applyProtection="1">
      <alignment horizontal="left"/>
    </xf>
    <xf numFmtId="43" fontId="11" fillId="0" borderId="44" xfId="68" applyFont="1" applyFill="1" applyBorder="1" applyAlignment="1" applyProtection="1">
      <alignment horizontal="center"/>
    </xf>
    <xf numFmtId="0" fontId="9" fillId="45" borderId="0" xfId="0" applyFont="1" applyFill="1" applyProtection="1">
      <protection locked="0"/>
    </xf>
    <xf numFmtId="0" fontId="54" fillId="45" borderId="0" xfId="0" applyFont="1" applyFill="1" applyAlignment="1" applyProtection="1">
      <alignment horizontal="center" wrapText="1"/>
      <protection locked="0"/>
    </xf>
    <xf numFmtId="43" fontId="11" fillId="40" borderId="44" xfId="68" applyFont="1" applyFill="1" applyBorder="1" applyAlignment="1" applyProtection="1">
      <alignment horizontal="left"/>
      <protection locked="0"/>
    </xf>
    <xf numFmtId="0" fontId="0" fillId="0" borderId="0" xfId="0" applyAlignment="1">
      <alignment horizontal="left" vertical="top" wrapText="1"/>
    </xf>
    <xf numFmtId="168" fontId="147" fillId="4" borderId="0" xfId="0" applyNumberFormat="1" applyFont="1" applyFill="1"/>
    <xf numFmtId="0" fontId="15" fillId="4" borderId="0" xfId="0" applyFont="1" applyFill="1"/>
    <xf numFmtId="0" fontId="0" fillId="4" borderId="0" xfId="0" applyFill="1" applyAlignment="1">
      <alignment horizontal="right" vertical="center"/>
    </xf>
    <xf numFmtId="0" fontId="0" fillId="0" borderId="0" xfId="0" applyAlignment="1">
      <alignment horizontal="left" vertical="top"/>
    </xf>
    <xf numFmtId="0" fontId="147" fillId="4" borderId="0" xfId="0" applyFont="1" applyFill="1" applyAlignment="1">
      <alignment horizontal="center"/>
    </xf>
    <xf numFmtId="168" fontId="0" fillId="4" borderId="0" xfId="0" applyNumberFormat="1" applyFill="1" applyAlignment="1">
      <alignment horizontal="center" vertical="center"/>
    </xf>
    <xf numFmtId="0" fontId="0" fillId="4" borderId="0" xfId="0" applyFill="1" applyAlignment="1">
      <alignment horizontal="center" vertical="center"/>
    </xf>
    <xf numFmtId="168" fontId="32" fillId="57" borderId="0" xfId="0" applyNumberFormat="1" applyFont="1" applyFill="1" applyAlignment="1">
      <alignment horizontal="center" vertical="center"/>
    </xf>
    <xf numFmtId="0" fontId="32" fillId="57" borderId="0" xfId="0" applyFont="1" applyFill="1" applyAlignment="1">
      <alignment vertical="center" wrapText="1"/>
    </xf>
    <xf numFmtId="0" fontId="32" fillId="57" borderId="0" xfId="0" applyFont="1" applyFill="1" applyAlignment="1">
      <alignment vertical="center"/>
    </xf>
    <xf numFmtId="0" fontId="32" fillId="57" borderId="0" xfId="0" applyFont="1" applyFill="1" applyAlignment="1">
      <alignment horizontal="center" vertical="center"/>
    </xf>
    <xf numFmtId="0" fontId="32" fillId="4" borderId="0" xfId="0" applyFont="1" applyFill="1" applyAlignment="1">
      <alignment vertical="center"/>
    </xf>
    <xf numFmtId="0" fontId="12" fillId="4" borderId="0" xfId="0" applyFont="1" applyFill="1" applyAlignment="1">
      <alignment vertical="center"/>
    </xf>
    <xf numFmtId="168" fontId="0" fillId="4" borderId="1" xfId="0" applyNumberFormat="1" applyFill="1" applyBorder="1" applyAlignment="1">
      <alignment horizontal="center" vertical="center"/>
    </xf>
    <xf numFmtId="0" fontId="0" fillId="4" borderId="1" xfId="0" applyFill="1" applyBorder="1" applyAlignment="1">
      <alignment vertical="center"/>
    </xf>
    <xf numFmtId="49" fontId="0" fillId="4" borderId="1" xfId="0" applyNumberFormat="1" applyFill="1" applyBorder="1" applyAlignment="1">
      <alignment horizontal="left" vertical="center"/>
    </xf>
    <xf numFmtId="0" fontId="0" fillId="4" borderId="1" xfId="0" applyFill="1" applyBorder="1" applyAlignment="1">
      <alignment vertical="center" wrapText="1"/>
    </xf>
    <xf numFmtId="17" fontId="0" fillId="4" borderId="1" xfId="0" applyNumberFormat="1" applyFill="1" applyBorder="1" applyAlignment="1">
      <alignment vertical="center"/>
    </xf>
    <xf numFmtId="49" fontId="0" fillId="4" borderId="0" xfId="0" applyNumberFormat="1" applyFill="1" applyAlignment="1">
      <alignment horizontal="left" vertical="center"/>
    </xf>
    <xf numFmtId="0" fontId="29" fillId="4" borderId="0" xfId="0" applyFont="1" applyFill="1" applyAlignment="1">
      <alignment vertical="center"/>
    </xf>
    <xf numFmtId="0" fontId="148" fillId="0" borderId="0" xfId="0" applyFont="1" applyAlignment="1">
      <alignment horizontal="center" vertical="center"/>
    </xf>
    <xf numFmtId="0" fontId="148" fillId="0" borderId="0" xfId="0" applyFont="1" applyAlignment="1">
      <alignment vertical="center"/>
    </xf>
    <xf numFmtId="0" fontId="148" fillId="0" borderId="0" xfId="0" applyFont="1"/>
    <xf numFmtId="0" fontId="9" fillId="4" borderId="0" xfId="0" applyFont="1" applyFill="1" applyAlignment="1">
      <alignment horizontal="left" vertical="center" wrapText="1"/>
    </xf>
    <xf numFmtId="0" fontId="149" fillId="4" borderId="0" xfId="0" applyFont="1" applyFill="1" applyAlignment="1">
      <alignment horizontal="center" vertical="center"/>
    </xf>
    <xf numFmtId="0" fontId="8" fillId="4" borderId="0" xfId="0" applyFont="1" applyFill="1" applyAlignment="1">
      <alignment horizontal="center" vertical="center"/>
    </xf>
    <xf numFmtId="0" fontId="46" fillId="0" borderId="0" xfId="0" applyFont="1" applyAlignment="1">
      <alignment vertical="top"/>
    </xf>
    <xf numFmtId="0" fontId="0" fillId="4" borderId="0" xfId="0" applyFill="1" applyAlignment="1">
      <alignment vertical="center" wrapText="1"/>
    </xf>
    <xf numFmtId="0" fontId="46" fillId="0" borderId="0" xfId="0" applyFont="1"/>
    <xf numFmtId="0" fontId="15" fillId="4" borderId="0" xfId="0" applyFont="1" applyFill="1" applyAlignment="1">
      <alignment horizontal="right"/>
    </xf>
    <xf numFmtId="0" fontId="24" fillId="58" borderId="8" xfId="10" applyFill="1" applyAlignment="1" applyProtection="1">
      <alignment horizontal="center"/>
      <protection locked="0"/>
    </xf>
    <xf numFmtId="0" fontId="0" fillId="0" borderId="0" xfId="0" applyAlignment="1">
      <alignment vertical="top" wrapText="1"/>
    </xf>
    <xf numFmtId="49" fontId="0" fillId="4" borderId="0" xfId="0" applyNumberFormat="1" applyFill="1"/>
    <xf numFmtId="0" fontId="24" fillId="58" borderId="1" xfId="10" applyFill="1" applyBorder="1"/>
    <xf numFmtId="0" fontId="0" fillId="59" borderId="1" xfId="0" applyFill="1" applyBorder="1"/>
    <xf numFmtId="0" fontId="151" fillId="4" borderId="0" xfId="0" applyFont="1" applyFill="1" applyAlignment="1">
      <alignment horizontal="right"/>
    </xf>
    <xf numFmtId="0" fontId="152" fillId="60" borderId="1" xfId="0" applyFont="1" applyFill="1" applyBorder="1" applyAlignment="1">
      <alignment horizontal="center"/>
    </xf>
    <xf numFmtId="0" fontId="152" fillId="61" borderId="1" xfId="0" applyFont="1" applyFill="1" applyBorder="1" applyAlignment="1">
      <alignment horizontal="center"/>
    </xf>
    <xf numFmtId="0" fontId="46" fillId="4" borderId="0" xfId="0" applyFont="1" applyFill="1" applyAlignment="1">
      <alignment wrapText="1"/>
    </xf>
    <xf numFmtId="0" fontId="153" fillId="4" borderId="0" xfId="2" applyFont="1" applyFill="1" applyAlignment="1">
      <alignment horizontal="left"/>
    </xf>
    <xf numFmtId="0" fontId="153" fillId="4" borderId="0" xfId="2" applyFont="1" applyFill="1"/>
    <xf numFmtId="0" fontId="154" fillId="4" borderId="0" xfId="0" applyFont="1" applyFill="1" applyAlignment="1">
      <alignment vertical="top"/>
    </xf>
    <xf numFmtId="0" fontId="0" fillId="0" borderId="95" xfId="0" applyBorder="1" applyAlignment="1">
      <alignment vertical="center"/>
    </xf>
    <xf numFmtId="0" fontId="24" fillId="58" borderId="96" xfId="10" applyFill="1" applyBorder="1" applyAlignment="1" applyProtection="1">
      <alignment horizontal="left"/>
      <protection locked="0"/>
    </xf>
    <xf numFmtId="0" fontId="8" fillId="4" borderId="97" xfId="0" applyFont="1" applyFill="1" applyBorder="1" applyAlignment="1">
      <alignment horizontal="left" vertical="center" wrapText="1"/>
    </xf>
    <xf numFmtId="0" fontId="0" fillId="0" borderId="98" xfId="0" applyBorder="1" applyAlignment="1">
      <alignment vertical="center"/>
    </xf>
    <xf numFmtId="0" fontId="24" fillId="58" borderId="99" xfId="10" applyFill="1" applyBorder="1" applyAlignment="1" applyProtection="1">
      <alignment horizontal="left"/>
      <protection locked="0"/>
    </xf>
    <xf numFmtId="0" fontId="0" fillId="0" borderId="98" xfId="0" applyBorder="1" applyAlignment="1">
      <alignment vertical="center" wrapText="1"/>
    </xf>
    <xf numFmtId="0" fontId="24" fillId="58" borderId="99" xfId="10" applyFill="1" applyBorder="1" applyAlignment="1" applyProtection="1">
      <alignment horizontal="left" wrapText="1"/>
      <protection locked="0"/>
    </xf>
    <xf numFmtId="0" fontId="24" fillId="58" borderId="99" xfId="10" applyFill="1" applyBorder="1" applyAlignment="1" applyProtection="1">
      <alignment horizontal="center"/>
      <protection locked="0"/>
    </xf>
    <xf numFmtId="0" fontId="45" fillId="0" borderId="0" xfId="10" applyFont="1" applyFill="1" applyBorder="1" applyAlignment="1" applyProtection="1">
      <alignment horizontal="left" vertical="center" wrapText="1" indent="1"/>
      <protection locked="0"/>
    </xf>
    <xf numFmtId="0" fontId="0" fillId="0" borderId="101" xfId="0" applyBorder="1" applyAlignment="1">
      <alignment vertical="center"/>
    </xf>
    <xf numFmtId="0" fontId="24" fillId="58" borderId="102" xfId="10" applyFill="1" applyBorder="1" applyAlignment="1" applyProtection="1">
      <alignment horizontal="center"/>
      <protection locked="0"/>
    </xf>
    <xf numFmtId="0" fontId="8" fillId="4" borderId="0" xfId="0" applyFont="1" applyFill="1" applyAlignment="1">
      <alignment horizontal="left" vertical="center" wrapText="1"/>
    </xf>
    <xf numFmtId="0" fontId="24" fillId="0" borderId="0" xfId="10" applyFill="1" applyBorder="1" applyAlignment="1" applyProtection="1">
      <alignment horizontal="center" vertical="center" wrapText="1"/>
      <protection locked="0"/>
    </xf>
    <xf numFmtId="0" fontId="24" fillId="0" borderId="0" xfId="10" applyFill="1" applyBorder="1" applyAlignment="1" applyProtection="1">
      <alignment horizontal="center" vertical="center"/>
      <protection locked="0"/>
    </xf>
    <xf numFmtId="0" fontId="0" fillId="4" borderId="0" xfId="0" applyFill="1" applyAlignment="1">
      <alignment horizontal="right"/>
    </xf>
    <xf numFmtId="0" fontId="51" fillId="4" borderId="0" xfId="65" applyFill="1" applyAlignment="1" applyProtection="1">
      <protection locked="0"/>
    </xf>
    <xf numFmtId="0" fontId="0" fillId="4" borderId="0" xfId="0" applyFill="1" applyAlignment="1">
      <alignment horizontal="right" wrapText="1"/>
    </xf>
    <xf numFmtId="0" fontId="51" fillId="4" borderId="0" xfId="65" applyFill="1" applyAlignment="1" applyProtection="1">
      <alignment vertical="center"/>
      <protection locked="0"/>
    </xf>
    <xf numFmtId="0" fontId="18" fillId="4" borderId="0" xfId="0" applyFont="1" applyFill="1" applyAlignment="1">
      <alignment horizontal="right" wrapText="1"/>
    </xf>
    <xf numFmtId="0" fontId="21" fillId="4" borderId="0" xfId="0" applyFont="1" applyFill="1" applyAlignment="1">
      <alignment vertical="top"/>
    </xf>
    <xf numFmtId="0" fontId="156" fillId="4" borderId="0" xfId="0" applyFont="1" applyFill="1" applyAlignment="1">
      <alignment vertical="top"/>
    </xf>
    <xf numFmtId="3" fontId="0" fillId="4" borderId="0" xfId="0" applyNumberFormat="1" applyFill="1"/>
    <xf numFmtId="0" fontId="46" fillId="4" borderId="0" xfId="0" applyFont="1" applyFill="1"/>
    <xf numFmtId="0" fontId="9" fillId="4" borderId="0" xfId="0" applyFont="1" applyFill="1" applyAlignment="1">
      <alignment horizontal="center"/>
    </xf>
    <xf numFmtId="0" fontId="8" fillId="2" borderId="0" xfId="0" applyFont="1" applyFill="1" applyAlignment="1">
      <alignment horizontal="center"/>
    </xf>
    <xf numFmtId="0" fontId="12" fillId="62" borderId="0" xfId="0" applyFont="1" applyFill="1"/>
    <xf numFmtId="0" fontId="0" fillId="62" borderId="0" xfId="0" applyFill="1"/>
    <xf numFmtId="0" fontId="12" fillId="0" borderId="0" xfId="0" applyFont="1"/>
    <xf numFmtId="0" fontId="9" fillId="0" borderId="0" xfId="0" applyFont="1" applyAlignment="1">
      <alignment wrapText="1"/>
    </xf>
    <xf numFmtId="0" fontId="157" fillId="63" borderId="103" xfId="0" applyFont="1" applyFill="1" applyBorder="1" applyAlignment="1">
      <alignment horizontal="right"/>
    </xf>
    <xf numFmtId="0" fontId="157" fillId="63" borderId="103" xfId="0" applyFont="1" applyFill="1" applyBorder="1"/>
    <xf numFmtId="0" fontId="0" fillId="63" borderId="103" xfId="0" applyFill="1" applyBorder="1"/>
    <xf numFmtId="0" fontId="32" fillId="0" borderId="0" xfId="0" applyFont="1" applyAlignment="1">
      <alignment horizontal="left" wrapText="1"/>
    </xf>
    <xf numFmtId="0" fontId="159" fillId="0" borderId="0" xfId="0" applyFont="1" applyAlignment="1">
      <alignment horizontal="center"/>
    </xf>
    <xf numFmtId="0" fontId="8" fillId="0" borderId="0" xfId="0" applyFont="1" applyAlignment="1">
      <alignment horizontal="right"/>
    </xf>
    <xf numFmtId="49" fontId="9" fillId="0" borderId="0" xfId="0" applyNumberFormat="1" applyFont="1" applyAlignment="1">
      <alignment horizontal="left" vertical="center" wrapText="1"/>
    </xf>
    <xf numFmtId="0" fontId="0" fillId="63" borderId="16" xfId="0" applyFill="1" applyBorder="1" applyAlignment="1">
      <alignment horizontal="center" vertical="center"/>
    </xf>
    <xf numFmtId="0" fontId="0" fillId="63" borderId="29" xfId="0" applyFill="1" applyBorder="1" applyAlignment="1">
      <alignment horizontal="center" vertical="center"/>
    </xf>
    <xf numFmtId="0" fontId="0" fillId="63" borderId="17" xfId="0" applyFill="1" applyBorder="1" applyAlignment="1">
      <alignment horizontal="center" vertical="center"/>
    </xf>
    <xf numFmtId="0" fontId="0" fillId="63" borderId="1" xfId="0" applyFill="1" applyBorder="1" applyAlignment="1">
      <alignment horizontal="center" vertical="center"/>
    </xf>
    <xf numFmtId="0" fontId="48" fillId="64" borderId="1" xfId="0" applyFont="1" applyFill="1" applyBorder="1" applyAlignment="1">
      <alignment horizontal="left" vertical="center" indent="1"/>
    </xf>
    <xf numFmtId="0" fontId="48" fillId="59" borderId="1" xfId="0" applyFont="1" applyFill="1" applyBorder="1" applyAlignment="1">
      <alignment horizontal="center"/>
    </xf>
    <xf numFmtId="167" fontId="48" fillId="64" borderId="1" xfId="0" applyNumberFormat="1" applyFont="1" applyFill="1" applyBorder="1" applyAlignment="1">
      <alignment horizontal="center" vertical="center"/>
    </xf>
    <xf numFmtId="0" fontId="0" fillId="65" borderId="16" xfId="0" applyFill="1" applyBorder="1"/>
    <xf numFmtId="0" fontId="0" fillId="65" borderId="17" xfId="0" applyFill="1" applyBorder="1"/>
    <xf numFmtId="0" fontId="0" fillId="0" borderId="1" xfId="0" applyBorder="1" applyAlignment="1">
      <alignment vertical="center" wrapText="1"/>
    </xf>
    <xf numFmtId="0" fontId="24" fillId="58" borderId="106" xfId="10" applyFill="1" applyBorder="1" applyAlignment="1" applyProtection="1">
      <alignment horizontal="center" vertical="center"/>
      <protection locked="0"/>
    </xf>
    <xf numFmtId="164" fontId="0" fillId="0" borderId="1" xfId="0" applyNumberFormat="1" applyBorder="1" applyAlignment="1">
      <alignment horizontal="center"/>
    </xf>
    <xf numFmtId="0" fontId="0" fillId="0" borderId="27" xfId="0" applyBorder="1" applyAlignment="1">
      <alignment horizontal="center" vertical="center"/>
    </xf>
    <xf numFmtId="0" fontId="24" fillId="58" borderId="107" xfId="10" applyFill="1" applyBorder="1" applyAlignment="1" applyProtection="1">
      <alignment horizontal="center" vertical="center"/>
      <protection locked="0"/>
    </xf>
    <xf numFmtId="0" fontId="24" fillId="58" borderId="108" xfId="10" applyFill="1" applyBorder="1" applyAlignment="1" applyProtection="1">
      <alignment horizontal="center" vertical="center"/>
      <protection locked="0"/>
    </xf>
    <xf numFmtId="0" fontId="32" fillId="63" borderId="103" xfId="0" applyFont="1" applyFill="1" applyBorder="1" applyAlignment="1">
      <alignment vertical="center" wrapText="1"/>
    </xf>
    <xf numFmtId="0" fontId="32" fillId="0" borderId="0" xfId="0" applyFont="1" applyAlignment="1">
      <alignment horizontal="left" vertical="center" wrapText="1"/>
    </xf>
    <xf numFmtId="0" fontId="15" fillId="0" borderId="0" xfId="0" applyFont="1" applyAlignment="1">
      <alignment horizontal="left" wrapText="1"/>
    </xf>
    <xf numFmtId="0" fontId="15" fillId="0" borderId="0" xfId="0" applyFont="1"/>
    <xf numFmtId="0" fontId="32" fillId="0" borderId="0" xfId="0" applyFont="1" applyAlignment="1">
      <alignment horizontal="center" vertical="center" wrapText="1"/>
    </xf>
    <xf numFmtId="0" fontId="24" fillId="0" borderId="0" xfId="10" applyNumberFormat="1" applyFill="1" applyBorder="1" applyAlignment="1" applyProtection="1">
      <alignment horizontal="center" vertical="center" wrapText="1"/>
      <protection locked="0"/>
    </xf>
    <xf numFmtId="0" fontId="9" fillId="0" borderId="0" xfId="0" applyFont="1" applyAlignment="1" applyProtection="1">
      <alignment horizontal="center" vertical="center" wrapText="1"/>
      <protection locked="0"/>
    </xf>
    <xf numFmtId="49" fontId="9" fillId="0" borderId="0" xfId="0" applyNumberFormat="1" applyFont="1" applyAlignment="1">
      <alignment horizontal="center" vertical="center" wrapText="1"/>
    </xf>
    <xf numFmtId="0" fontId="0" fillId="63" borderId="1" xfId="0" applyFill="1" applyBorder="1" applyAlignment="1">
      <alignment horizontal="center" vertical="center" wrapText="1"/>
    </xf>
    <xf numFmtId="0" fontId="0" fillId="63" borderId="1" xfId="0" applyFill="1" applyBorder="1" applyAlignment="1">
      <alignment horizontal="right" vertical="center"/>
    </xf>
    <xf numFmtId="187" fontId="0" fillId="0" borderId="1" xfId="1" applyNumberFormat="1" applyFont="1" applyBorder="1" applyAlignment="1">
      <alignment horizontal="center" vertical="center"/>
    </xf>
    <xf numFmtId="187" fontId="24" fillId="58" borderId="1" xfId="1" applyNumberFormat="1" applyFont="1" applyFill="1" applyBorder="1" applyAlignment="1" applyProtection="1">
      <alignment horizontal="center"/>
      <protection locked="0"/>
    </xf>
    <xf numFmtId="0" fontId="48" fillId="64" borderId="1" xfId="0" applyFont="1" applyFill="1" applyBorder="1" applyAlignment="1">
      <alignment horizontal="right" vertical="center" indent="1"/>
    </xf>
    <xf numFmtId="0" fontId="48" fillId="59" borderId="4" xfId="0" applyFont="1" applyFill="1" applyBorder="1" applyAlignment="1">
      <alignment horizontal="center"/>
    </xf>
    <xf numFmtId="164" fontId="48" fillId="64" borderId="1" xfId="64" applyNumberFormat="1" applyFont="1" applyFill="1" applyBorder="1" applyAlignment="1">
      <alignment horizontal="center" vertical="center"/>
    </xf>
    <xf numFmtId="0" fontId="0" fillId="0" borderId="17" xfId="0" applyBorder="1" applyAlignment="1">
      <alignment horizontal="center"/>
    </xf>
    <xf numFmtId="2" fontId="0" fillId="0" borderId="1" xfId="0" applyNumberFormat="1" applyBorder="1" applyAlignment="1">
      <alignment horizontal="center"/>
    </xf>
    <xf numFmtId="166" fontId="0" fillId="0" borderId="1" xfId="0" applyNumberFormat="1" applyBorder="1" applyAlignment="1">
      <alignment horizontal="center"/>
    </xf>
    <xf numFmtId="0" fontId="163" fillId="63" borderId="103" xfId="0" applyFont="1" applyFill="1" applyBorder="1" applyAlignment="1">
      <alignment horizontal="right"/>
    </xf>
    <xf numFmtId="0" fontId="157" fillId="0" borderId="0" xfId="0" applyFont="1"/>
    <xf numFmtId="0" fontId="24" fillId="58" borderId="8" xfId="10" applyFill="1" applyAlignment="1" applyProtection="1">
      <alignment horizontal="center" vertical="center"/>
      <protection locked="0"/>
    </xf>
    <xf numFmtId="0" fontId="9" fillId="0" borderId="0" xfId="0" applyFont="1" applyAlignment="1">
      <alignment vertical="center" wrapText="1"/>
    </xf>
    <xf numFmtId="0" fontId="29" fillId="11" borderId="11" xfId="2" applyFont="1" applyFill="1" applyBorder="1" applyAlignment="1" applyProtection="1">
      <alignment horizontal="center" vertical="center" wrapText="1"/>
      <protection locked="0"/>
    </xf>
    <xf numFmtId="0" fontId="48" fillId="59" borderId="27" xfId="0" applyFont="1" applyFill="1" applyBorder="1" applyAlignment="1">
      <alignment horizontal="center"/>
    </xf>
    <xf numFmtId="3" fontId="48" fillId="64" borderId="1" xfId="0" applyNumberFormat="1" applyFont="1" applyFill="1" applyBorder="1" applyAlignment="1">
      <alignment horizontal="center" vertical="center"/>
    </xf>
    <xf numFmtId="3" fontId="11" fillId="0" borderId="1" xfId="0" applyNumberFormat="1" applyFont="1" applyBorder="1" applyAlignment="1">
      <alignment horizontal="center" vertical="center"/>
    </xf>
    <xf numFmtId="3" fontId="11" fillId="0" borderId="0" xfId="0" applyNumberFormat="1" applyFont="1" applyAlignment="1">
      <alignment horizontal="center" vertical="center"/>
    </xf>
    <xf numFmtId="9" fontId="48" fillId="64" borderId="1" xfId="1" applyFont="1" applyFill="1" applyBorder="1" applyAlignment="1">
      <alignment horizontal="center" vertical="center"/>
    </xf>
    <xf numFmtId="0" fontId="164" fillId="37" borderId="1" xfId="0" applyFont="1" applyFill="1" applyBorder="1" applyAlignment="1">
      <alignment horizontal="left" vertical="center" wrapText="1"/>
    </xf>
    <xf numFmtId="187" fontId="11" fillId="0" borderId="1" xfId="1" applyNumberFormat="1" applyFont="1" applyBorder="1" applyAlignment="1" applyProtection="1">
      <alignment horizontal="center" vertical="center"/>
    </xf>
    <xf numFmtId="0" fontId="163" fillId="63" borderId="103" xfId="0" applyFont="1" applyFill="1" applyBorder="1" applyAlignment="1">
      <alignment horizontal="left" indent="1"/>
    </xf>
    <xf numFmtId="0" fontId="7" fillId="11" borderId="11" xfId="14" applyAlignment="1" applyProtection="1">
      <alignment horizontal="center" vertical="center" wrapText="1"/>
      <protection locked="0"/>
    </xf>
    <xf numFmtId="49" fontId="9" fillId="0" borderId="0" xfId="0" applyNumberFormat="1" applyFont="1" applyAlignment="1">
      <alignment vertical="center" wrapText="1"/>
    </xf>
    <xf numFmtId="0" fontId="0" fillId="63" borderId="4" xfId="0" applyFill="1" applyBorder="1" applyAlignment="1">
      <alignment horizontal="center" vertical="center"/>
    </xf>
    <xf numFmtId="0" fontId="0" fillId="63" borderId="25" xfId="0" applyFill="1" applyBorder="1" applyAlignment="1">
      <alignment horizontal="center" vertical="center"/>
    </xf>
    <xf numFmtId="0" fontId="0" fillId="63" borderId="27" xfId="0" applyFill="1" applyBorder="1" applyAlignment="1">
      <alignment horizontal="center" vertical="center"/>
    </xf>
    <xf numFmtId="0" fontId="164" fillId="0" borderId="1" xfId="0" applyFont="1" applyBorder="1" applyAlignment="1">
      <alignment horizontal="left" vertical="center"/>
    </xf>
    <xf numFmtId="167" fontId="11" fillId="0" borderId="1" xfId="64" applyNumberFormat="1" applyFont="1" applyBorder="1" applyAlignment="1">
      <alignment horizontal="center" vertical="center"/>
    </xf>
    <xf numFmtId="0" fontId="12" fillId="5" borderId="0" xfId="0" applyFont="1" applyFill="1"/>
    <xf numFmtId="0" fontId="0" fillId="66" borderId="0" xfId="0" applyFill="1"/>
    <xf numFmtId="0" fontId="0" fillId="5" borderId="0" xfId="0" applyFill="1"/>
    <xf numFmtId="0" fontId="157" fillId="67" borderId="0" xfId="0" applyFont="1" applyFill="1" applyAlignment="1">
      <alignment horizontal="right"/>
    </xf>
    <xf numFmtId="0" fontId="157" fillId="67" borderId="0" xfId="0" applyFont="1" applyFill="1"/>
    <xf numFmtId="0" fontId="0" fillId="67" borderId="0" xfId="0" applyFill="1"/>
    <xf numFmtId="0" fontId="0" fillId="67" borderId="1" xfId="0" applyFill="1" applyBorder="1" applyAlignment="1">
      <alignment horizontal="center" vertical="center"/>
    </xf>
    <xf numFmtId="0" fontId="0" fillId="67" borderId="1" xfId="0" applyFill="1" applyBorder="1" applyAlignment="1">
      <alignment horizontal="center" vertical="center" wrapText="1"/>
    </xf>
    <xf numFmtId="0" fontId="24" fillId="58" borderId="1" xfId="10" applyFill="1" applyBorder="1" applyAlignment="1" applyProtection="1">
      <alignment horizontal="center"/>
      <protection locked="0"/>
    </xf>
    <xf numFmtId="0" fontId="9" fillId="0" borderId="0" xfId="0" applyFont="1" applyAlignment="1">
      <alignment horizontal="right" vertical="center" wrapText="1"/>
    </xf>
    <xf numFmtId="49" fontId="15" fillId="0" borderId="0" xfId="0" applyNumberFormat="1" applyFont="1" applyAlignment="1">
      <alignment horizontal="left" vertical="center" wrapText="1"/>
    </xf>
    <xf numFmtId="0" fontId="8" fillId="64" borderId="1" xfId="0" applyFont="1" applyFill="1" applyBorder="1" applyAlignment="1">
      <alignment horizontal="right" vertical="center"/>
    </xf>
    <xf numFmtId="0" fontId="0" fillId="59" borderId="1" xfId="0" applyFill="1" applyBorder="1" applyAlignment="1">
      <alignment horizontal="center" vertical="center"/>
    </xf>
    <xf numFmtId="0" fontId="0" fillId="68" borderId="1" xfId="0" applyFill="1" applyBorder="1" applyAlignment="1">
      <alignment horizontal="center" vertical="center"/>
    </xf>
    <xf numFmtId="164" fontId="53" fillId="64" borderId="110" xfId="0" applyNumberFormat="1" applyFont="1" applyFill="1" applyBorder="1" applyAlignment="1">
      <alignment horizontal="center"/>
    </xf>
    <xf numFmtId="0" fontId="165" fillId="0" borderId="0" xfId="0" applyFont="1" applyAlignment="1">
      <alignment horizontal="left"/>
    </xf>
    <xf numFmtId="0" fontId="0" fillId="0" borderId="1" xfId="0" applyBorder="1" applyAlignment="1">
      <alignment horizontal="left" vertical="center" wrapText="1"/>
    </xf>
    <xf numFmtId="0" fontId="53" fillId="58" borderId="110" xfId="0" applyFont="1" applyFill="1" applyBorder="1" applyAlignment="1" applyProtection="1">
      <alignment horizontal="center"/>
      <protection locked="0"/>
    </xf>
    <xf numFmtId="0" fontId="166" fillId="0" borderId="0" xfId="0" applyFont="1"/>
    <xf numFmtId="0" fontId="53" fillId="0" borderId="0" xfId="0" applyFont="1"/>
    <xf numFmtId="0" fontId="166" fillId="0" borderId="0" xfId="0" applyFont="1" applyAlignment="1">
      <alignment horizontal="center"/>
    </xf>
    <xf numFmtId="164" fontId="53" fillId="0" borderId="0" xfId="0" applyNumberFormat="1" applyFont="1" applyAlignment="1">
      <alignment horizontal="center"/>
    </xf>
    <xf numFmtId="0" fontId="167" fillId="0" borderId="0" xfId="0" applyFont="1"/>
    <xf numFmtId="0" fontId="0" fillId="0" borderId="111" xfId="0" applyBorder="1"/>
    <xf numFmtId="0" fontId="0" fillId="0" borderId="0" xfId="0" applyAlignment="1">
      <alignment horizontal="center" vertical="center" wrapText="1"/>
    </xf>
    <xf numFmtId="49" fontId="32" fillId="0" borderId="0" xfId="0" applyNumberFormat="1" applyFont="1" applyAlignment="1">
      <alignment vertical="center"/>
    </xf>
    <xf numFmtId="0" fontId="9" fillId="0" borderId="0" xfId="0" applyFont="1" applyAlignment="1">
      <alignment horizontal="right"/>
    </xf>
    <xf numFmtId="0" fontId="0" fillId="0" borderId="0" xfId="0" applyAlignment="1" applyProtection="1">
      <alignment horizontal="center"/>
      <protection locked="0"/>
    </xf>
    <xf numFmtId="0" fontId="32" fillId="38" borderId="25" xfId="0" applyFont="1" applyFill="1" applyBorder="1" applyAlignment="1">
      <alignment horizontal="center" vertical="center"/>
    </xf>
    <xf numFmtId="0" fontId="40" fillId="57" borderId="1" xfId="0" applyFont="1" applyFill="1" applyBorder="1" applyAlignment="1">
      <alignment horizontal="center" vertical="center" wrapText="1"/>
    </xf>
    <xf numFmtId="0" fontId="32" fillId="57" borderId="1" xfId="0" applyFont="1" applyFill="1" applyBorder="1" applyAlignment="1">
      <alignment horizontal="center" vertical="center"/>
    </xf>
    <xf numFmtId="0" fontId="32" fillId="38" borderId="26" xfId="0" applyFont="1" applyFill="1" applyBorder="1" applyAlignment="1">
      <alignment horizontal="center" vertical="center"/>
    </xf>
    <xf numFmtId="0" fontId="32" fillId="38" borderId="118" xfId="0" applyFont="1" applyFill="1" applyBorder="1" applyAlignment="1">
      <alignment horizontal="center" vertical="center"/>
    </xf>
    <xf numFmtId="0" fontId="32" fillId="57" borderId="4" xfId="0" applyFont="1" applyFill="1" applyBorder="1" applyAlignment="1">
      <alignment horizontal="center" vertical="center" wrapText="1"/>
    </xf>
    <xf numFmtId="49" fontId="169" fillId="57" borderId="4" xfId="0" applyNumberFormat="1" applyFont="1" applyFill="1" applyBorder="1" applyAlignment="1">
      <alignment horizontal="center" vertical="center" wrapText="1"/>
    </xf>
    <xf numFmtId="0" fontId="32" fillId="0" borderId="0" xfId="0" applyFont="1" applyAlignment="1">
      <alignment horizontal="center" vertical="center"/>
    </xf>
    <xf numFmtId="0" fontId="32" fillId="38" borderId="25" xfId="0" applyFont="1" applyFill="1" applyBorder="1" applyAlignment="1">
      <alignment horizontal="center" vertical="center" wrapText="1"/>
    </xf>
    <xf numFmtId="0" fontId="32" fillId="57" borderId="1" xfId="0" applyFont="1" applyFill="1" applyBorder="1" applyAlignment="1">
      <alignment horizontal="center" vertical="center" wrapText="1"/>
    </xf>
    <xf numFmtId="0" fontId="32" fillId="57" borderId="16" xfId="0" applyFont="1" applyFill="1" applyBorder="1" applyAlignment="1">
      <alignment horizontal="center" vertical="center"/>
    </xf>
    <xf numFmtId="0" fontId="32" fillId="38" borderId="26" xfId="0" applyFont="1" applyFill="1" applyBorder="1" applyAlignment="1">
      <alignment horizontal="center" vertical="center" wrapText="1"/>
    </xf>
    <xf numFmtId="0" fontId="32" fillId="57" borderId="14" xfId="0" applyFont="1" applyFill="1" applyBorder="1" applyAlignment="1">
      <alignment horizontal="center" vertical="center" wrapText="1"/>
    </xf>
    <xf numFmtId="0" fontId="32" fillId="57" borderId="15" xfId="0" applyFont="1" applyFill="1" applyBorder="1" applyAlignment="1">
      <alignment horizontal="center" vertical="center" wrapText="1"/>
    </xf>
    <xf numFmtId="0" fontId="32" fillId="38" borderId="118" xfId="0" applyFont="1" applyFill="1" applyBorder="1" applyAlignment="1">
      <alignment horizontal="center" vertical="center" wrapText="1"/>
    </xf>
    <xf numFmtId="49" fontId="169" fillId="57" borderId="25" xfId="0" applyNumberFormat="1" applyFont="1" applyFill="1" applyBorder="1" applyAlignment="1">
      <alignment horizontal="center" vertical="center" wrapText="1"/>
    </xf>
    <xf numFmtId="0" fontId="32" fillId="0" borderId="1" xfId="0" applyFont="1" applyBorder="1" applyAlignment="1">
      <alignment horizontal="center" vertical="center"/>
    </xf>
    <xf numFmtId="0" fontId="32" fillId="38" borderId="25" xfId="0" applyFont="1" applyFill="1" applyBorder="1" applyAlignment="1">
      <alignment vertical="center"/>
    </xf>
    <xf numFmtId="0" fontId="164" fillId="0" borderId="1" xfId="0" applyFont="1" applyBorder="1" applyAlignment="1">
      <alignment horizontal="center" vertical="center"/>
    </xf>
    <xf numFmtId="3" fontId="164" fillId="41" borderId="16" xfId="0" applyNumberFormat="1" applyFont="1" applyFill="1" applyBorder="1" applyAlignment="1">
      <alignment horizontal="center" vertical="center" wrapText="1"/>
    </xf>
    <xf numFmtId="49" fontId="169" fillId="64" borderId="16" xfId="0" applyNumberFormat="1" applyFont="1" applyFill="1" applyBorder="1" applyAlignment="1">
      <alignment horizontal="center" vertical="center"/>
    </xf>
    <xf numFmtId="0" fontId="32" fillId="0" borderId="1" xfId="0" applyFont="1" applyBorder="1" applyAlignment="1">
      <alignment vertical="center" wrapText="1"/>
    </xf>
    <xf numFmtId="0" fontId="32" fillId="0" borderId="1" xfId="0" applyFont="1" applyBorder="1" applyAlignment="1">
      <alignment horizontal="center" vertical="center" wrapText="1"/>
    </xf>
    <xf numFmtId="0" fontId="32" fillId="0" borderId="1" xfId="0" applyFont="1" applyBorder="1" applyAlignment="1">
      <alignment horizontal="left" vertical="center"/>
    </xf>
    <xf numFmtId="1" fontId="32" fillId="0" borderId="1" xfId="0" applyNumberFormat="1" applyFont="1" applyBorder="1" applyAlignment="1">
      <alignment horizontal="center" vertical="center"/>
    </xf>
    <xf numFmtId="164" fontId="32" fillId="0" borderId="1" xfId="0" applyNumberFormat="1" applyFont="1" applyBorder="1" applyAlignment="1">
      <alignment horizontal="center" vertical="center"/>
    </xf>
    <xf numFmtId="49" fontId="40" fillId="64" borderId="1" xfId="0" applyNumberFormat="1" applyFont="1" applyFill="1" applyBorder="1" applyAlignment="1">
      <alignment horizontal="center" vertical="center"/>
    </xf>
    <xf numFmtId="0" fontId="32" fillId="0" borderId="1" xfId="0" applyFont="1" applyBorder="1" applyAlignment="1">
      <alignment vertical="center"/>
    </xf>
    <xf numFmtId="0" fontId="152" fillId="0" borderId="0" xfId="0" applyFont="1" applyAlignment="1">
      <alignment vertical="center"/>
    </xf>
    <xf numFmtId="49" fontId="32" fillId="0" borderId="1" xfId="0" applyNumberFormat="1" applyFont="1" applyBorder="1" applyAlignment="1">
      <alignment vertical="center"/>
    </xf>
    <xf numFmtId="49" fontId="32" fillId="0" borderId="1" xfId="0" applyNumberFormat="1" applyFont="1" applyBorder="1" applyAlignment="1">
      <alignment horizontal="center" vertical="center"/>
    </xf>
    <xf numFmtId="0" fontId="171" fillId="0" borderId="1" xfId="0" applyFont="1" applyBorder="1" applyAlignment="1">
      <alignment horizontal="center" vertical="center" wrapText="1"/>
    </xf>
    <xf numFmtId="4" fontId="171" fillId="0" borderId="1" xfId="0" applyNumberFormat="1" applyFont="1" applyBorder="1" applyAlignment="1">
      <alignment horizontal="center" vertical="center" wrapText="1"/>
    </xf>
    <xf numFmtId="49" fontId="40" fillId="64" borderId="1" xfId="0" applyNumberFormat="1" applyFont="1" applyFill="1" applyBorder="1" applyAlignment="1">
      <alignment horizontal="center" vertical="center" wrapText="1"/>
    </xf>
    <xf numFmtId="2" fontId="171" fillId="0" borderId="1" xfId="0" applyNumberFormat="1" applyFont="1" applyBorder="1" applyAlignment="1">
      <alignment horizontal="center" vertical="center" wrapText="1"/>
    </xf>
    <xf numFmtId="0" fontId="49" fillId="0" borderId="1" xfId="0" applyFont="1" applyBorder="1" applyAlignment="1">
      <alignment horizontal="center" vertical="center" wrapText="1"/>
    </xf>
    <xf numFmtId="4" fontId="32" fillId="0" borderId="1" xfId="0" applyNumberFormat="1" applyFont="1" applyBorder="1" applyAlignment="1">
      <alignment horizontal="center" vertical="center"/>
    </xf>
    <xf numFmtId="4" fontId="32" fillId="0" borderId="1" xfId="0" applyNumberFormat="1" applyFont="1" applyBorder="1" applyAlignment="1">
      <alignment horizontal="center" vertical="center" wrapText="1"/>
    </xf>
    <xf numFmtId="0" fontId="32" fillId="0" borderId="0" xfId="0" applyFont="1" applyAlignment="1">
      <alignment vertical="center"/>
    </xf>
    <xf numFmtId="189" fontId="32" fillId="0" borderId="0" xfId="0" applyNumberFormat="1" applyFont="1" applyAlignment="1">
      <alignment horizontal="center" vertical="center"/>
    </xf>
    <xf numFmtId="0" fontId="32" fillId="57" borderId="1" xfId="0" applyFont="1" applyFill="1" applyBorder="1" applyAlignment="1">
      <alignment horizontal="left" vertical="center" wrapText="1"/>
    </xf>
    <xf numFmtId="167" fontId="164" fillId="41" borderId="16" xfId="0" applyNumberFormat="1" applyFont="1" applyFill="1" applyBorder="1" applyAlignment="1">
      <alignment horizontal="center" vertical="center" wrapText="1"/>
    </xf>
    <xf numFmtId="190" fontId="32" fillId="0" borderId="0" xfId="64" applyNumberFormat="1" applyFont="1" applyAlignment="1">
      <alignment horizontal="center" vertical="center"/>
    </xf>
    <xf numFmtId="0" fontId="32" fillId="57" borderId="1" xfId="0" applyFont="1" applyFill="1" applyBorder="1" applyAlignment="1">
      <alignment vertical="center"/>
    </xf>
    <xf numFmtId="164" fontId="32" fillId="0" borderId="1" xfId="0" applyNumberFormat="1" applyFont="1" applyBorder="1" applyAlignment="1">
      <alignment horizontal="center" vertical="center" wrapText="1"/>
    </xf>
    <xf numFmtId="166" fontId="32" fillId="0" borderId="1" xfId="0" applyNumberFormat="1" applyFont="1" applyBorder="1" applyAlignment="1">
      <alignment horizontal="center" vertical="center"/>
    </xf>
    <xf numFmtId="170" fontId="32" fillId="0" borderId="0" xfId="0" applyNumberFormat="1" applyFont="1" applyAlignment="1">
      <alignment horizontal="center" vertical="center"/>
    </xf>
    <xf numFmtId="0" fontId="43" fillId="0" borderId="1" xfId="0" applyFont="1" applyBorder="1" applyAlignment="1">
      <alignment horizontal="center" vertical="center" wrapText="1"/>
    </xf>
    <xf numFmtId="191" fontId="32" fillId="0" borderId="0" xfId="0" applyNumberFormat="1" applyFont="1" applyAlignment="1">
      <alignment horizontal="center" vertical="center"/>
    </xf>
    <xf numFmtId="164" fontId="32" fillId="0" borderId="0" xfId="0" applyNumberFormat="1" applyFont="1" applyAlignment="1">
      <alignment horizontal="center" vertical="center"/>
    </xf>
    <xf numFmtId="2" fontId="43" fillId="0" borderId="1" xfId="0" applyNumberFormat="1" applyFont="1" applyBorder="1" applyAlignment="1">
      <alignment horizontal="center" vertical="center" wrapText="1"/>
    </xf>
    <xf numFmtId="0" fontId="40" fillId="64" borderId="1" xfId="0" applyFont="1" applyFill="1" applyBorder="1" applyAlignment="1">
      <alignment horizontal="right" vertical="center"/>
    </xf>
    <xf numFmtId="0" fontId="40" fillId="64" borderId="1" xfId="0" applyFont="1" applyFill="1" applyBorder="1" applyAlignment="1">
      <alignment horizontal="center" vertical="center" wrapText="1"/>
    </xf>
    <xf numFmtId="49" fontId="169" fillId="57" borderId="1" xfId="0" applyNumberFormat="1" applyFont="1" applyFill="1" applyBorder="1" applyAlignment="1">
      <alignment horizontal="center" vertical="center" wrapText="1"/>
    </xf>
    <xf numFmtId="0" fontId="32" fillId="0" borderId="0" xfId="0" applyFont="1" applyAlignment="1">
      <alignment horizontal="left" vertical="center"/>
    </xf>
    <xf numFmtId="166" fontId="32" fillId="0" borderId="1" xfId="0" applyNumberFormat="1" applyFont="1" applyBorder="1" applyAlignment="1">
      <alignment horizontal="center" vertical="center" wrapText="1"/>
    </xf>
    <xf numFmtId="171" fontId="32" fillId="0" borderId="1" xfId="0" applyNumberFormat="1" applyFont="1" applyBorder="1" applyAlignment="1">
      <alignment horizontal="center" vertical="center"/>
    </xf>
    <xf numFmtId="0" fontId="172" fillId="0" borderId="0" xfId="0" applyFont="1" applyAlignment="1">
      <alignment horizontal="left" vertical="center"/>
    </xf>
    <xf numFmtId="0" fontId="164" fillId="0" borderId="0" xfId="0" applyFont="1" applyAlignment="1">
      <alignment horizontal="left" vertical="center"/>
    </xf>
    <xf numFmtId="0" fontId="40" fillId="0" borderId="0" xfId="0" applyFont="1" applyAlignment="1">
      <alignment horizontal="center" vertical="center"/>
    </xf>
    <xf numFmtId="0" fontId="29" fillId="4" borderId="0" xfId="0" applyFont="1" applyFill="1"/>
    <xf numFmtId="0" fontId="42" fillId="70" borderId="0" xfId="0" applyFont="1" applyFill="1" applyAlignment="1">
      <alignment vertical="center"/>
    </xf>
    <xf numFmtId="0" fontId="29" fillId="70" borderId="0" xfId="0" applyFont="1" applyFill="1" applyAlignment="1">
      <alignment vertical="center"/>
    </xf>
    <xf numFmtId="0" fontId="29" fillId="0" borderId="0" xfId="0" applyFont="1"/>
    <xf numFmtId="0" fontId="174" fillId="0" borderId="0" xfId="0" applyFont="1"/>
    <xf numFmtId="188" fontId="17" fillId="71" borderId="103" xfId="0" applyNumberFormat="1" applyFont="1" applyFill="1" applyBorder="1" applyAlignment="1">
      <alignment vertical="center"/>
    </xf>
    <xf numFmtId="0" fontId="17" fillId="71" borderId="103" xfId="0" applyFont="1" applyFill="1" applyBorder="1" applyAlignment="1">
      <alignment horizontal="right" vertical="center"/>
    </xf>
    <xf numFmtId="37" fontId="17" fillId="71" borderId="103" xfId="64" applyNumberFormat="1" applyFont="1" applyFill="1" applyBorder="1" applyAlignment="1">
      <alignment vertical="center"/>
    </xf>
    <xf numFmtId="9" fontId="17" fillId="71" borderId="103" xfId="1" applyFont="1" applyFill="1" applyBorder="1" applyAlignment="1">
      <alignment vertical="center"/>
    </xf>
    <xf numFmtId="0" fontId="174" fillId="4" borderId="0" xfId="0" applyFont="1" applyFill="1"/>
    <xf numFmtId="0" fontId="46" fillId="62" borderId="112" xfId="0" applyFont="1" applyFill="1" applyBorder="1" applyAlignment="1">
      <alignment vertical="center"/>
    </xf>
    <xf numFmtId="188" fontId="47" fillId="62" borderId="112" xfId="64" applyNumberFormat="1" applyFont="1" applyFill="1" applyBorder="1" applyAlignment="1">
      <alignment vertical="center"/>
    </xf>
    <xf numFmtId="187" fontId="47" fillId="62" borderId="112" xfId="1" applyNumberFormat="1" applyFont="1" applyFill="1" applyBorder="1" applyAlignment="1">
      <alignment vertical="center"/>
    </xf>
    <xf numFmtId="0" fontId="47" fillId="63" borderId="112" xfId="0" applyFont="1" applyFill="1" applyBorder="1" applyAlignment="1">
      <alignment horizontal="left" vertical="center" wrapText="1"/>
    </xf>
    <xf numFmtId="188" fontId="47" fillId="63" borderId="112" xfId="64" applyNumberFormat="1" applyFont="1" applyFill="1" applyBorder="1" applyAlignment="1">
      <alignment vertical="center"/>
    </xf>
    <xf numFmtId="170" fontId="47" fillId="63" borderId="112" xfId="64" applyFont="1" applyFill="1" applyBorder="1" applyAlignment="1">
      <alignment horizontal="right" vertical="center"/>
    </xf>
    <xf numFmtId="187" fontId="47" fillId="63" borderId="112" xfId="1" applyNumberFormat="1" applyFont="1" applyFill="1" applyBorder="1" applyAlignment="1">
      <alignment vertical="center"/>
    </xf>
    <xf numFmtId="0" fontId="29" fillId="4" borderId="0" xfId="0" applyFont="1" applyFill="1" applyAlignment="1">
      <alignment wrapText="1"/>
    </xf>
    <xf numFmtId="188" fontId="175" fillId="63" borderId="112" xfId="64" applyNumberFormat="1" applyFont="1" applyFill="1" applyBorder="1" applyAlignment="1">
      <alignment vertical="center"/>
    </xf>
    <xf numFmtId="170" fontId="6" fillId="63" borderId="112" xfId="64" applyFont="1" applyFill="1" applyBorder="1" applyAlignment="1">
      <alignment horizontal="right" vertical="center"/>
    </xf>
    <xf numFmtId="187" fontId="6" fillId="63" borderId="112" xfId="1" applyNumberFormat="1" applyFont="1" applyFill="1" applyBorder="1" applyAlignment="1">
      <alignment vertical="center"/>
    </xf>
    <xf numFmtId="0" fontId="0" fillId="63" borderId="112" xfId="0" applyFill="1" applyBorder="1" applyAlignment="1">
      <alignment horizontal="left" vertical="center" wrapText="1" indent="1"/>
    </xf>
    <xf numFmtId="192" fontId="6" fillId="63" borderId="112" xfId="64" applyNumberFormat="1" applyFont="1" applyFill="1" applyBorder="1" applyAlignment="1">
      <alignment horizontal="right" vertical="center"/>
    </xf>
    <xf numFmtId="0" fontId="0" fillId="63" borderId="112" xfId="0" quotePrefix="1" applyFill="1" applyBorder="1" applyAlignment="1">
      <alignment horizontal="left" vertical="center" wrapText="1" indent="1"/>
    </xf>
    <xf numFmtId="0" fontId="32" fillId="63" borderId="0" xfId="0" applyFont="1" applyFill="1" applyAlignment="1">
      <alignment horizontal="left" vertical="center" wrapText="1" indent="2"/>
    </xf>
    <xf numFmtId="192" fontId="32" fillId="63" borderId="112" xfId="64" applyNumberFormat="1" applyFont="1" applyFill="1" applyBorder="1" applyAlignment="1">
      <alignment horizontal="right" vertical="center"/>
    </xf>
    <xf numFmtId="187" fontId="32" fillId="63" borderId="112" xfId="1" applyNumberFormat="1" applyFont="1" applyFill="1" applyBorder="1" applyAlignment="1">
      <alignment vertical="center"/>
    </xf>
    <xf numFmtId="0" fontId="32" fillId="63" borderId="112" xfId="0" applyFont="1" applyFill="1" applyBorder="1" applyAlignment="1">
      <alignment horizontal="left" vertical="center" wrapText="1" indent="2"/>
    </xf>
    <xf numFmtId="188" fontId="47" fillId="63" borderId="0" xfId="64" applyNumberFormat="1" applyFont="1" applyFill="1" applyBorder="1" applyAlignment="1">
      <alignment vertical="center"/>
    </xf>
    <xf numFmtId="192" fontId="32" fillId="63" borderId="0" xfId="64" applyNumberFormat="1" applyFont="1" applyFill="1" applyBorder="1" applyAlignment="1">
      <alignment horizontal="right" vertical="center"/>
    </xf>
    <xf numFmtId="0" fontId="46" fillId="66" borderId="112" xfId="0" applyFont="1" applyFill="1" applyBorder="1" applyAlignment="1">
      <alignment vertical="center" wrapText="1"/>
    </xf>
    <xf numFmtId="188" fontId="47" fillId="66" borderId="112" xfId="64" applyNumberFormat="1" applyFont="1" applyFill="1" applyBorder="1" applyAlignment="1">
      <alignment vertical="center"/>
    </xf>
    <xf numFmtId="187" fontId="47" fillId="66" borderId="112" xfId="1" applyNumberFormat="1" applyFont="1" applyFill="1" applyBorder="1" applyAlignment="1">
      <alignment vertical="center"/>
    </xf>
    <xf numFmtId="0" fontId="47" fillId="67" borderId="112" xfId="0" applyFont="1" applyFill="1" applyBorder="1" applyAlignment="1">
      <alignment horizontal="left" vertical="center" wrapText="1"/>
    </xf>
    <xf numFmtId="188" fontId="47" fillId="67" borderId="112" xfId="64" applyNumberFormat="1" applyFont="1" applyFill="1" applyBorder="1" applyAlignment="1">
      <alignment vertical="center"/>
    </xf>
    <xf numFmtId="187" fontId="47" fillId="67" borderId="112" xfId="1" applyNumberFormat="1" applyFont="1" applyFill="1" applyBorder="1" applyAlignment="1">
      <alignment vertical="center"/>
    </xf>
    <xf numFmtId="0" fontId="46" fillId="72" borderId="112" xfId="0" applyFont="1" applyFill="1" applyBorder="1" applyAlignment="1">
      <alignment vertical="center" wrapText="1"/>
    </xf>
    <xf numFmtId="188" fontId="47" fillId="72" borderId="112" xfId="64" applyNumberFormat="1" applyFont="1" applyFill="1" applyBorder="1" applyAlignment="1">
      <alignment vertical="center"/>
    </xf>
    <xf numFmtId="187" fontId="47" fillId="72" borderId="112" xfId="1" applyNumberFormat="1" applyFont="1" applyFill="1" applyBorder="1" applyAlignment="1">
      <alignment vertical="center"/>
    </xf>
    <xf numFmtId="0" fontId="47" fillId="73" borderId="112" xfId="0" applyFont="1" applyFill="1" applyBorder="1" applyAlignment="1">
      <alignment horizontal="left" vertical="center" wrapText="1"/>
    </xf>
    <xf numFmtId="188" fontId="47" fillId="73" borderId="112" xfId="64" applyNumberFormat="1" applyFont="1" applyFill="1" applyBorder="1" applyAlignment="1">
      <alignment vertical="center"/>
    </xf>
    <xf numFmtId="187" fontId="47" fillId="73" borderId="112" xfId="1" applyNumberFormat="1" applyFont="1" applyFill="1" applyBorder="1" applyAlignment="1">
      <alignment vertical="center"/>
    </xf>
    <xf numFmtId="188" fontId="47" fillId="73" borderId="0" xfId="64" applyNumberFormat="1" applyFont="1" applyFill="1" applyBorder="1" applyAlignment="1">
      <alignment vertical="center"/>
    </xf>
    <xf numFmtId="0" fontId="47" fillId="73" borderId="0" xfId="0" applyFont="1" applyFill="1" applyAlignment="1">
      <alignment horizontal="left" vertical="center" wrapText="1"/>
    </xf>
    <xf numFmtId="187" fontId="6" fillId="73" borderId="112" xfId="1" applyNumberFormat="1" applyFont="1" applyFill="1" applyBorder="1" applyAlignment="1">
      <alignment vertical="center"/>
    </xf>
    <xf numFmtId="187" fontId="32" fillId="73" borderId="112" xfId="1" applyNumberFormat="1" applyFont="1" applyFill="1" applyBorder="1" applyAlignment="1">
      <alignment vertical="center"/>
    </xf>
    <xf numFmtId="188" fontId="47" fillId="73" borderId="120" xfId="64" applyNumberFormat="1" applyFont="1" applyFill="1" applyBorder="1" applyAlignment="1">
      <alignment vertical="center"/>
    </xf>
    <xf numFmtId="0" fontId="0" fillId="4" borderId="0" xfId="0" applyFill="1" applyAlignment="1">
      <alignment horizontal="left" vertical="center" wrapText="1" indent="2"/>
    </xf>
    <xf numFmtId="188" fontId="47" fillId="4" borderId="0" xfId="64" applyNumberFormat="1" applyFont="1" applyFill="1" applyBorder="1" applyAlignment="1">
      <alignment vertical="center"/>
    </xf>
    <xf numFmtId="188" fontId="46" fillId="4" borderId="0" xfId="64" applyNumberFormat="1" applyFont="1" applyFill="1" applyBorder="1" applyAlignment="1">
      <alignment horizontal="right" vertical="center"/>
    </xf>
    <xf numFmtId="0" fontId="176" fillId="4" borderId="0" xfId="0" applyFont="1" applyFill="1" applyAlignment="1">
      <alignment horizontal="left" vertical="center" wrapText="1"/>
    </xf>
    <xf numFmtId="0" fontId="177" fillId="70" borderId="0" xfId="33" applyFont="1" applyFill="1" applyAlignment="1">
      <alignment horizontal="center" vertical="center"/>
    </xf>
    <xf numFmtId="0" fontId="14" fillId="70" borderId="0" xfId="33" applyFont="1" applyFill="1" applyAlignment="1">
      <alignment vertical="center"/>
    </xf>
    <xf numFmtId="0" fontId="177" fillId="70" borderId="0" xfId="0" applyFont="1" applyFill="1" applyAlignment="1">
      <alignment horizontal="center" vertical="center"/>
    </xf>
    <xf numFmtId="0" fontId="147" fillId="4" borderId="0" xfId="0" applyFont="1" applyFill="1" applyAlignment="1">
      <alignment vertical="center"/>
    </xf>
    <xf numFmtId="0" fontId="149" fillId="0" borderId="0" xfId="36" applyFont="1" applyFill="1" applyAlignment="1">
      <alignment horizontal="center" vertical="center" wrapText="1"/>
    </xf>
    <xf numFmtId="0" fontId="177" fillId="0" borderId="0" xfId="33" applyFont="1" applyFill="1" applyAlignment="1">
      <alignment horizontal="center" vertical="center"/>
    </xf>
    <xf numFmtId="0" fontId="177" fillId="0" borderId="0" xfId="0" applyFont="1" applyAlignment="1">
      <alignment horizontal="center" vertical="center"/>
    </xf>
    <xf numFmtId="0" fontId="178" fillId="0" borderId="0" xfId="44" applyFont="1" applyFill="1" applyAlignment="1">
      <alignment horizontal="center" vertical="center"/>
    </xf>
    <xf numFmtId="0" fontId="179" fillId="0" borderId="0" xfId="44" applyFont="1" applyFill="1" applyAlignment="1">
      <alignment horizontal="center" vertical="center"/>
    </xf>
    <xf numFmtId="0" fontId="17" fillId="4" borderId="28" xfId="0" applyFont="1" applyFill="1" applyBorder="1" applyAlignment="1">
      <alignment vertical="center"/>
    </xf>
    <xf numFmtId="0" fontId="0" fillId="4" borderId="28" xfId="0" applyFill="1" applyBorder="1"/>
    <xf numFmtId="0" fontId="8" fillId="4" borderId="28" xfId="0" applyFont="1" applyFill="1" applyBorder="1" applyAlignment="1">
      <alignment horizontal="center" vertical="center" wrapText="1"/>
    </xf>
    <xf numFmtId="0" fontId="8" fillId="4" borderId="28" xfId="0" applyFont="1" applyFill="1" applyBorder="1" applyAlignment="1">
      <alignment horizontal="center" vertical="center"/>
    </xf>
    <xf numFmtId="3" fontId="0" fillId="4" borderId="0" xfId="0" applyNumberFormat="1" applyFill="1" applyAlignment="1">
      <alignment horizontal="center" vertical="center"/>
    </xf>
    <xf numFmtId="9" fontId="0" fillId="4" borderId="0" xfId="1" applyFont="1" applyFill="1" applyAlignment="1" applyProtection="1">
      <alignment horizontal="center" vertical="center"/>
    </xf>
    <xf numFmtId="0" fontId="180" fillId="0" borderId="0" xfId="34" applyFont="1" applyFill="1" applyAlignment="1">
      <alignment horizontal="center" vertical="center" wrapText="1"/>
    </xf>
    <xf numFmtId="0" fontId="14" fillId="0" borderId="0" xfId="33" applyFont="1" applyFill="1" applyAlignment="1">
      <alignment horizontal="center" vertical="center"/>
    </xf>
    <xf numFmtId="0" fontId="42" fillId="0" borderId="0" xfId="0" applyFont="1" applyAlignment="1">
      <alignment horizontal="center" vertical="center"/>
    </xf>
    <xf numFmtId="0" fontId="47" fillId="0" borderId="0" xfId="66"/>
    <xf numFmtId="0" fontId="47" fillId="0" borderId="0" xfId="66" applyAlignment="1">
      <alignment horizontal="center" wrapText="1"/>
    </xf>
    <xf numFmtId="0" fontId="47" fillId="0" borderId="0" xfId="66" applyAlignment="1">
      <alignment horizontal="center"/>
    </xf>
    <xf numFmtId="0" fontId="181" fillId="0" borderId="0" xfId="66" applyFont="1" applyAlignment="1">
      <alignment horizontal="left" vertical="top"/>
    </xf>
    <xf numFmtId="0" fontId="47" fillId="0" borderId="0" xfId="66" applyAlignment="1">
      <alignment horizontal="center" vertical="top"/>
    </xf>
    <xf numFmtId="0" fontId="47" fillId="0" borderId="0" xfId="66" applyAlignment="1" applyProtection="1">
      <alignment horizontal="center"/>
      <protection hidden="1"/>
    </xf>
    <xf numFmtId="0" fontId="157" fillId="63" borderId="0" xfId="0" applyFont="1" applyFill="1" applyAlignment="1">
      <alignment horizontal="right"/>
    </xf>
    <xf numFmtId="0" fontId="157" fillId="63" borderId="0" xfId="0" applyFont="1" applyFill="1"/>
    <xf numFmtId="0" fontId="157" fillId="63" borderId="0" xfId="0" applyFont="1" applyFill="1" applyAlignment="1">
      <alignment wrapText="1"/>
    </xf>
    <xf numFmtId="0" fontId="157" fillId="63" borderId="0" xfId="0" applyFont="1" applyFill="1" applyProtection="1">
      <protection hidden="1"/>
    </xf>
    <xf numFmtId="0" fontId="157" fillId="63" borderId="0" xfId="66" applyFont="1" applyFill="1"/>
    <xf numFmtId="0" fontId="47" fillId="63" borderId="1" xfId="66" applyFill="1" applyBorder="1" applyAlignment="1">
      <alignment horizontal="center" vertical="center" wrapText="1"/>
    </xf>
    <xf numFmtId="0" fontId="46" fillId="0" borderId="0" xfId="66" applyFont="1" applyAlignment="1">
      <alignment horizontal="center" vertical="center" wrapText="1"/>
    </xf>
    <xf numFmtId="0" fontId="46" fillId="0" borderId="0" xfId="66" applyFont="1" applyAlignment="1" applyProtection="1">
      <alignment horizontal="center" vertical="center" wrapText="1"/>
      <protection hidden="1"/>
    </xf>
    <xf numFmtId="0" fontId="47" fillId="63" borderId="1" xfId="66" applyFill="1" applyBorder="1" applyAlignment="1">
      <alignment vertical="center" wrapText="1"/>
    </xf>
    <xf numFmtId="0" fontId="47" fillId="63" borderId="1" xfId="66" applyFill="1" applyBorder="1" applyAlignment="1" applyProtection="1">
      <alignment horizontal="center" vertical="center" wrapText="1"/>
      <protection hidden="1"/>
    </xf>
    <xf numFmtId="0" fontId="168" fillId="58" borderId="121" xfId="10" applyFont="1" applyFill="1" applyBorder="1" applyAlignment="1" applyProtection="1">
      <alignment horizontal="center" vertical="center"/>
      <protection locked="0"/>
    </xf>
    <xf numFmtId="0" fontId="168" fillId="58" borderId="121" xfId="10" applyFont="1" applyFill="1" applyBorder="1" applyAlignment="1" applyProtection="1">
      <alignment horizontal="center" vertical="center" wrapText="1"/>
      <protection locked="0"/>
    </xf>
    <xf numFmtId="14" fontId="168" fillId="58" borderId="121" xfId="10" applyNumberFormat="1" applyFont="1" applyFill="1" applyBorder="1" applyAlignment="1" applyProtection="1">
      <alignment horizontal="center" vertical="center"/>
      <protection locked="0"/>
    </xf>
    <xf numFmtId="0" fontId="168" fillId="58" borderId="122" xfId="10" applyFont="1" applyFill="1" applyBorder="1" applyAlignment="1" applyProtection="1">
      <alignment horizontal="center" vertical="center"/>
      <protection locked="0"/>
    </xf>
    <xf numFmtId="0" fontId="32" fillId="0" borderId="1" xfId="66" applyFont="1" applyBorder="1" applyAlignment="1">
      <alignment horizontal="center" vertical="center"/>
    </xf>
    <xf numFmtId="0" fontId="32" fillId="0" borderId="0" xfId="66" applyFont="1" applyAlignment="1">
      <alignment horizontal="center" vertical="center"/>
    </xf>
    <xf numFmtId="0" fontId="24" fillId="58" borderId="8" xfId="10" applyFill="1" applyAlignment="1" applyProtection="1">
      <alignment horizontal="center" vertical="center" wrapText="1"/>
      <protection locked="0"/>
    </xf>
    <xf numFmtId="0" fontId="24" fillId="58" borderId="121" xfId="10" applyFill="1" applyBorder="1" applyAlignment="1" applyProtection="1">
      <alignment horizontal="center" vertical="center"/>
      <protection locked="0"/>
    </xf>
    <xf numFmtId="14" fontId="24" fillId="58" borderId="8" xfId="10" applyNumberFormat="1" applyFill="1" applyAlignment="1" applyProtection="1">
      <alignment horizontal="center" vertical="center"/>
      <protection locked="0"/>
    </xf>
    <xf numFmtId="0" fontId="24" fillId="58" borderId="104" xfId="10" applyFill="1" applyBorder="1" applyAlignment="1" applyProtection="1">
      <alignment vertical="center" wrapText="1"/>
      <protection locked="0"/>
    </xf>
    <xf numFmtId="0" fontId="147" fillId="4" borderId="0" xfId="0" applyFont="1" applyFill="1"/>
    <xf numFmtId="0" fontId="156" fillId="0" borderId="0" xfId="0" applyFont="1" applyAlignment="1">
      <alignment horizontal="left" vertical="top"/>
    </xf>
    <xf numFmtId="0" fontId="32" fillId="57" borderId="123" xfId="0" applyFont="1" applyFill="1" applyBorder="1" applyAlignment="1">
      <alignment horizontal="center" vertical="center"/>
    </xf>
    <xf numFmtId="0" fontId="32" fillId="57" borderId="124" xfId="0" applyFont="1" applyFill="1" applyBorder="1" applyAlignment="1">
      <alignment vertical="center" wrapText="1"/>
    </xf>
    <xf numFmtId="0" fontId="32" fillId="57" borderId="124" xfId="0" applyFont="1" applyFill="1" applyBorder="1" applyAlignment="1">
      <alignment vertical="center"/>
    </xf>
    <xf numFmtId="0" fontId="32" fillId="57" borderId="124" xfId="0" applyFont="1" applyFill="1" applyBorder="1" applyAlignment="1">
      <alignment horizontal="center" vertical="center"/>
    </xf>
    <xf numFmtId="0" fontId="32" fillId="57" borderId="125" xfId="0" applyFont="1" applyFill="1" applyBorder="1" applyAlignment="1">
      <alignment vertical="center"/>
    </xf>
    <xf numFmtId="0" fontId="32" fillId="4" borderId="126" xfId="0" applyFont="1" applyFill="1" applyBorder="1" applyAlignment="1">
      <alignment horizontal="center" vertical="center"/>
    </xf>
    <xf numFmtId="0" fontId="32" fillId="4" borderId="98" xfId="0" applyFont="1" applyFill="1" applyBorder="1" applyAlignment="1">
      <alignment horizontal="left" vertical="center" wrapText="1"/>
    </xf>
    <xf numFmtId="0" fontId="32" fillId="4" borderId="98" xfId="0" applyFont="1" applyFill="1" applyBorder="1" applyAlignment="1">
      <alignment vertical="center"/>
    </xf>
    <xf numFmtId="0" fontId="32" fillId="4" borderId="98" xfId="0" applyFont="1" applyFill="1" applyBorder="1" applyAlignment="1">
      <alignment horizontal="center" vertical="center"/>
    </xf>
    <xf numFmtId="0" fontId="32" fillId="4" borderId="98" xfId="0" applyFont="1" applyFill="1" applyBorder="1" applyAlignment="1" applyProtection="1">
      <alignment vertical="center"/>
      <protection locked="0"/>
    </xf>
    <xf numFmtId="0" fontId="32" fillId="4" borderId="127" xfId="0" applyFont="1" applyFill="1" applyBorder="1" applyAlignment="1">
      <alignment vertical="center"/>
    </xf>
    <xf numFmtId="0" fontId="32" fillId="4" borderId="98" xfId="0" applyFont="1" applyFill="1" applyBorder="1" applyAlignment="1">
      <alignment vertical="center" wrapText="1"/>
    </xf>
    <xf numFmtId="0" fontId="184" fillId="4" borderId="98" xfId="65" applyFont="1" applyFill="1" applyBorder="1" applyAlignment="1" applyProtection="1">
      <alignment vertical="center"/>
      <protection locked="0"/>
    </xf>
    <xf numFmtId="0" fontId="164" fillId="0" borderId="127" xfId="0" applyFont="1" applyBorder="1" applyAlignment="1">
      <alignment horizontal="left" vertical="center"/>
    </xf>
    <xf numFmtId="15" fontId="32" fillId="4" borderId="98" xfId="0" applyNumberFormat="1" applyFont="1" applyFill="1" applyBorder="1" applyAlignment="1">
      <alignment horizontal="center" vertical="center"/>
    </xf>
    <xf numFmtId="17" fontId="32" fillId="4" borderId="98" xfId="0" applyNumberFormat="1" applyFont="1" applyFill="1" applyBorder="1" applyAlignment="1">
      <alignment horizontal="center" vertical="center"/>
    </xf>
    <xf numFmtId="0" fontId="32" fillId="4" borderId="127" xfId="0" applyFont="1" applyFill="1" applyBorder="1" applyAlignment="1">
      <alignment vertical="center" wrapText="1"/>
    </xf>
    <xf numFmtId="1" fontId="32" fillId="4" borderId="98" xfId="0" applyNumberFormat="1" applyFont="1" applyFill="1" applyBorder="1" applyAlignment="1">
      <alignment horizontal="center" vertical="center"/>
    </xf>
    <xf numFmtId="14" fontId="32" fillId="4" borderId="98" xfId="0" applyNumberFormat="1" applyFont="1" applyFill="1" applyBorder="1" applyAlignment="1">
      <alignment horizontal="center" vertical="center" wrapText="1"/>
    </xf>
    <xf numFmtId="0" fontId="32" fillId="4" borderId="98" xfId="0" applyFont="1" applyFill="1" applyBorder="1" applyAlignment="1" applyProtection="1">
      <alignment vertical="center" wrapText="1"/>
      <protection locked="0"/>
    </xf>
    <xf numFmtId="0" fontId="32" fillId="4" borderId="98" xfId="0" applyFont="1" applyFill="1" applyBorder="1" applyAlignment="1">
      <alignment horizontal="center" vertical="center" wrapText="1"/>
    </xf>
    <xf numFmtId="17" fontId="32" fillId="4" borderId="98" xfId="0" applyNumberFormat="1" applyFont="1" applyFill="1" applyBorder="1" applyAlignment="1">
      <alignment horizontal="center" vertical="center" wrapText="1"/>
    </xf>
    <xf numFmtId="0" fontId="32" fillId="4" borderId="126" xfId="0" applyFont="1" applyFill="1" applyBorder="1" applyAlignment="1">
      <alignment horizontal="center" vertical="center" wrapText="1"/>
    </xf>
    <xf numFmtId="14" fontId="32" fillId="4" borderId="98" xfId="0" applyNumberFormat="1" applyFont="1" applyFill="1" applyBorder="1" applyAlignment="1">
      <alignment horizontal="center" vertical="center"/>
    </xf>
    <xf numFmtId="0" fontId="184" fillId="4" borderId="98" xfId="65" applyFont="1" applyFill="1" applyBorder="1" applyAlignment="1" applyProtection="1">
      <alignment vertical="center" wrapText="1"/>
    </xf>
    <xf numFmtId="0" fontId="0" fillId="4" borderId="126" xfId="0" applyFill="1" applyBorder="1" applyAlignment="1">
      <alignment horizontal="center" vertical="center"/>
    </xf>
    <xf numFmtId="0" fontId="0" fillId="4" borderId="98" xfId="0" applyFill="1" applyBorder="1" applyAlignment="1">
      <alignment vertical="center"/>
    </xf>
    <xf numFmtId="0" fontId="0" fillId="4" borderId="98" xfId="0" applyFill="1" applyBorder="1" applyAlignment="1">
      <alignment vertical="center" wrapText="1"/>
    </xf>
    <xf numFmtId="0" fontId="0" fillId="4" borderId="98" xfId="0" applyFill="1" applyBorder="1" applyAlignment="1">
      <alignment horizontal="center" vertical="center"/>
    </xf>
    <xf numFmtId="0" fontId="13" fillId="0" borderId="98" xfId="2" applyBorder="1"/>
    <xf numFmtId="0" fontId="0" fillId="4" borderId="127" xfId="0" applyFill="1" applyBorder="1" applyAlignment="1">
      <alignment vertical="center"/>
    </xf>
    <xf numFmtId="0" fontId="0" fillId="4" borderId="128" xfId="0" applyFill="1" applyBorder="1" applyAlignment="1">
      <alignment horizontal="center" vertical="center"/>
    </xf>
    <xf numFmtId="0" fontId="0" fillId="4" borderId="129" xfId="0" applyFill="1" applyBorder="1" applyAlignment="1">
      <alignment vertical="center"/>
    </xf>
    <xf numFmtId="0" fontId="0" fillId="4" borderId="129" xfId="0" applyFill="1" applyBorder="1" applyAlignment="1">
      <alignment horizontal="center" vertical="center"/>
    </xf>
    <xf numFmtId="0" fontId="0" fillId="4" borderId="130" xfId="0" applyFill="1" applyBorder="1" applyAlignment="1">
      <alignment vertical="center"/>
    </xf>
    <xf numFmtId="0" fontId="52" fillId="0" borderId="0" xfId="67"/>
    <xf numFmtId="0" fontId="181" fillId="0" borderId="0" xfId="67" applyFont="1" applyAlignment="1">
      <alignment vertical="top"/>
    </xf>
    <xf numFmtId="0" fontId="157" fillId="75" borderId="0" xfId="0" applyFont="1" applyFill="1" applyAlignment="1">
      <alignment horizontal="right"/>
    </xf>
    <xf numFmtId="0" fontId="157" fillId="75" borderId="0" xfId="0" applyFont="1" applyFill="1"/>
    <xf numFmtId="0" fontId="157" fillId="0" borderId="0" xfId="66" applyFont="1"/>
    <xf numFmtId="0" fontId="47" fillId="0" borderId="0" xfId="67" applyFont="1"/>
    <xf numFmtId="0" fontId="46" fillId="76" borderId="1" xfId="67" applyFont="1" applyFill="1" applyBorder="1"/>
    <xf numFmtId="0" fontId="46" fillId="0" borderId="0" xfId="67" applyFont="1"/>
    <xf numFmtId="0" fontId="47" fillId="76" borderId="1" xfId="67" applyFont="1" applyFill="1" applyBorder="1"/>
    <xf numFmtId="0" fontId="157" fillId="75" borderId="1" xfId="0" applyFont="1" applyFill="1" applyBorder="1"/>
    <xf numFmtId="0" fontId="52" fillId="0" borderId="1" xfId="67" applyBorder="1"/>
    <xf numFmtId="0" fontId="157" fillId="0" borderId="0" xfId="67" applyFont="1"/>
    <xf numFmtId="0" fontId="157" fillId="42" borderId="1" xfId="0" applyFont="1" applyFill="1" applyBorder="1"/>
    <xf numFmtId="165" fontId="47" fillId="76" borderId="1" xfId="67" applyNumberFormat="1" applyFont="1" applyFill="1" applyBorder="1"/>
    <xf numFmtId="3" fontId="47" fillId="76" borderId="1" xfId="67" applyNumberFormat="1" applyFont="1" applyFill="1" applyBorder="1"/>
    <xf numFmtId="166" fontId="47" fillId="76" borderId="1" xfId="67" applyNumberFormat="1" applyFont="1" applyFill="1" applyBorder="1"/>
    <xf numFmtId="0" fontId="156" fillId="0" borderId="0" xfId="0" applyFont="1"/>
    <xf numFmtId="0" fontId="8" fillId="0" borderId="0" xfId="0" applyFont="1" applyAlignment="1">
      <alignment horizontal="left" vertical="center" wrapText="1"/>
    </xf>
    <xf numFmtId="0" fontId="33" fillId="57" borderId="1" xfId="0" applyFont="1" applyFill="1" applyBorder="1" applyAlignment="1">
      <alignment horizontal="center" vertical="center" wrapText="1"/>
    </xf>
    <xf numFmtId="0" fontId="8" fillId="4" borderId="0" xfId="0" applyFont="1" applyFill="1" applyAlignment="1">
      <alignment horizontal="center" vertical="center" wrapText="1"/>
    </xf>
    <xf numFmtId="0" fontId="32" fillId="4" borderId="1" xfId="0" applyFont="1" applyFill="1" applyBorder="1" applyAlignment="1" applyProtection="1">
      <alignment horizontal="center" vertical="center" wrapText="1"/>
      <protection locked="0"/>
    </xf>
    <xf numFmtId="0" fontId="32" fillId="4" borderId="1" xfId="0" applyFont="1" applyFill="1" applyBorder="1" applyAlignment="1" applyProtection="1">
      <alignment vertical="center" wrapText="1"/>
      <protection locked="0"/>
    </xf>
    <xf numFmtId="15" fontId="32" fillId="4" borderId="1" xfId="0" applyNumberFormat="1" applyFont="1" applyFill="1" applyBorder="1" applyAlignment="1" applyProtection="1">
      <alignment horizontal="center" vertical="center" wrapText="1"/>
      <protection locked="0"/>
    </xf>
    <xf numFmtId="0" fontId="0" fillId="4" borderId="0" xfId="0" applyFill="1" applyAlignment="1" applyProtection="1">
      <alignment vertical="center" wrapText="1"/>
      <protection locked="0"/>
    </xf>
    <xf numFmtId="0" fontId="0" fillId="0" borderId="1" xfId="0" applyBorder="1" applyAlignment="1" applyProtection="1">
      <alignment wrapText="1"/>
      <protection locked="0"/>
    </xf>
    <xf numFmtId="0" fontId="0" fillId="0" borderId="0" xfId="0" applyAlignment="1" applyProtection="1">
      <alignment wrapText="1"/>
      <protection locked="0"/>
    </xf>
    <xf numFmtId="0" fontId="159" fillId="0" borderId="0" xfId="0" applyFont="1" applyAlignment="1">
      <alignment horizontal="center" wrapText="1"/>
    </xf>
    <xf numFmtId="3" fontId="47" fillId="73" borderId="112" xfId="0" applyNumberFormat="1" applyFont="1" applyFill="1" applyBorder="1" applyAlignment="1">
      <alignment horizontal="right" vertical="center" wrapText="1"/>
    </xf>
    <xf numFmtId="176" fontId="11" fillId="56" borderId="44" xfId="0" applyNumberFormat="1" applyFont="1" applyFill="1" applyBorder="1"/>
    <xf numFmtId="0" fontId="11" fillId="56" borderId="44" xfId="0" applyFont="1" applyFill="1" applyBorder="1"/>
    <xf numFmtId="164" fontId="11" fillId="56" borderId="44" xfId="0" applyNumberFormat="1" applyFont="1" applyFill="1" applyBorder="1" applyAlignment="1">
      <alignment horizontal="center"/>
    </xf>
    <xf numFmtId="43" fontId="100" fillId="40" borderId="44" xfId="68" applyFont="1" applyFill="1" applyBorder="1" applyAlignment="1" applyProtection="1">
      <alignment horizontal="left"/>
    </xf>
    <xf numFmtId="43" fontId="100" fillId="40" borderId="44" xfId="68" applyFont="1" applyFill="1" applyBorder="1" applyProtection="1"/>
    <xf numFmtId="0" fontId="100" fillId="40" borderId="44" xfId="0" applyFont="1" applyFill="1" applyBorder="1" applyAlignment="1">
      <alignment wrapText="1"/>
    </xf>
    <xf numFmtId="4" fontId="100" fillId="40" borderId="44" xfId="0" applyNumberFormat="1" applyFont="1" applyFill="1" applyBorder="1" applyAlignment="1">
      <alignment horizontal="center" wrapText="1"/>
    </xf>
    <xf numFmtId="168" fontId="32" fillId="0" borderId="1" xfId="0" applyNumberFormat="1" applyFont="1" applyBorder="1" applyAlignment="1">
      <alignment horizontal="center" vertical="center"/>
    </xf>
    <xf numFmtId="164" fontId="0" fillId="0" borderId="0" xfId="0" applyNumberFormat="1"/>
    <xf numFmtId="0" fontId="187" fillId="0" borderId="0" xfId="0" applyFont="1"/>
    <xf numFmtId="3" fontId="164" fillId="41" borderId="1" xfId="0" applyNumberFormat="1" applyFont="1" applyFill="1" applyBorder="1" applyAlignment="1">
      <alignment horizontal="right" vertical="center" wrapText="1"/>
    </xf>
    <xf numFmtId="0" fontId="13" fillId="4" borderId="98" xfId="2" applyFill="1" applyBorder="1" applyAlignment="1" applyProtection="1">
      <alignment vertical="center"/>
      <protection locked="0"/>
    </xf>
    <xf numFmtId="0" fontId="13" fillId="4" borderId="98" xfId="2" applyFill="1" applyBorder="1" applyAlignment="1" applyProtection="1">
      <alignment vertical="center" wrapText="1"/>
      <protection locked="0"/>
    </xf>
    <xf numFmtId="0" fontId="13" fillId="4" borderId="127" xfId="2" applyFill="1" applyBorder="1" applyAlignment="1">
      <alignment vertical="center"/>
    </xf>
    <xf numFmtId="43" fontId="32" fillId="0" borderId="0" xfId="0" applyNumberFormat="1" applyFont="1" applyAlignment="1">
      <alignment horizontal="center" vertical="center"/>
    </xf>
    <xf numFmtId="0" fontId="32" fillId="57" borderId="24" xfId="0" applyFont="1" applyFill="1" applyBorder="1" applyAlignment="1">
      <alignment vertical="center" wrapText="1"/>
    </xf>
    <xf numFmtId="168" fontId="32" fillId="0" borderId="0" xfId="0" applyNumberFormat="1" applyFont="1" applyAlignment="1">
      <alignment vertical="center" wrapText="1"/>
    </xf>
    <xf numFmtId="168" fontId="32" fillId="57" borderId="0" xfId="0" applyNumberFormat="1" applyFont="1" applyFill="1" applyAlignment="1">
      <alignment vertical="center" wrapText="1"/>
    </xf>
    <xf numFmtId="0" fontId="32" fillId="0" borderId="132" xfId="0" applyFont="1" applyBorder="1" applyAlignment="1">
      <alignment vertical="center"/>
    </xf>
    <xf numFmtId="0" fontId="32" fillId="0" borderId="134" xfId="0" applyFont="1" applyBorder="1"/>
    <xf numFmtId="0" fontId="32" fillId="77" borderId="134" xfId="0" applyFont="1" applyFill="1" applyBorder="1"/>
    <xf numFmtId="0" fontId="32" fillId="78" borderId="134" xfId="0" applyFont="1" applyFill="1" applyBorder="1"/>
    <xf numFmtId="0" fontId="32" fillId="79" borderId="134" xfId="0" applyFont="1" applyFill="1" applyBorder="1"/>
    <xf numFmtId="0" fontId="32" fillId="79" borderId="136" xfId="0" applyFont="1" applyFill="1" applyBorder="1"/>
    <xf numFmtId="0" fontId="32" fillId="0" borderId="132" xfId="0" applyFont="1" applyBorder="1" applyAlignment="1">
      <alignment horizontal="center" wrapText="1"/>
    </xf>
    <xf numFmtId="0" fontId="32" fillId="0" borderId="134" xfId="0" applyFont="1" applyBorder="1" applyAlignment="1">
      <alignment horizontal="center" wrapText="1"/>
    </xf>
    <xf numFmtId="183" fontId="32" fillId="80" borderId="134" xfId="0" applyNumberFormat="1" applyFont="1" applyFill="1" applyBorder="1" applyAlignment="1">
      <alignment horizontal="center" wrapText="1"/>
    </xf>
    <xf numFmtId="183" fontId="32" fillId="80" borderId="136" xfId="0" applyNumberFormat="1" applyFont="1" applyFill="1" applyBorder="1" applyAlignment="1">
      <alignment horizontal="center" wrapText="1"/>
    </xf>
    <xf numFmtId="0" fontId="29" fillId="4" borderId="0" xfId="0" applyFont="1" applyFill="1" applyAlignment="1">
      <alignment horizontal="center"/>
    </xf>
    <xf numFmtId="0" fontId="148" fillId="0" borderId="0" xfId="0" applyFont="1" applyAlignment="1">
      <alignment horizontal="center"/>
    </xf>
    <xf numFmtId="0" fontId="29" fillId="0" borderId="0" xfId="0" applyFont="1" applyAlignment="1">
      <alignment horizontal="center"/>
    </xf>
    <xf numFmtId="0" fontId="190" fillId="0" borderId="0" xfId="0" applyFont="1" applyAlignment="1">
      <alignment horizontal="center"/>
    </xf>
    <xf numFmtId="168" fontId="190" fillId="0" borderId="0" xfId="0" applyNumberFormat="1" applyFont="1" applyAlignment="1">
      <alignment horizontal="center"/>
    </xf>
    <xf numFmtId="0" fontId="32" fillId="0" borderId="132" xfId="0" applyFont="1" applyBorder="1" applyAlignment="1">
      <alignment horizontal="left" wrapText="1"/>
    </xf>
    <xf numFmtId="0" fontId="32" fillId="0" borderId="134" xfId="0" applyFont="1" applyBorder="1" applyAlignment="1">
      <alignment horizontal="left" wrapText="1"/>
    </xf>
    <xf numFmtId="183" fontId="32" fillId="80" borderId="134" xfId="0" applyNumberFormat="1" applyFont="1" applyFill="1" applyBorder="1" applyAlignment="1">
      <alignment horizontal="left" wrapText="1"/>
    </xf>
    <xf numFmtId="183" fontId="32" fillId="49" borderId="134" xfId="0" applyNumberFormat="1" applyFont="1" applyFill="1" applyBorder="1" applyAlignment="1">
      <alignment horizontal="left" wrapText="1"/>
    </xf>
    <xf numFmtId="183" fontId="32" fillId="80" borderId="136" xfId="0" applyNumberFormat="1" applyFont="1" applyFill="1" applyBorder="1" applyAlignment="1">
      <alignment horizontal="left" wrapText="1"/>
    </xf>
    <xf numFmtId="0" fontId="32" fillId="0" borderId="131" xfId="0" applyFont="1" applyBorder="1" applyAlignment="1">
      <alignment horizontal="right"/>
    </xf>
    <xf numFmtId="0" fontId="32" fillId="0" borderId="133" xfId="0" applyFont="1" applyBorder="1" applyAlignment="1">
      <alignment horizontal="right"/>
    </xf>
    <xf numFmtId="0" fontId="32" fillId="0" borderId="135" xfId="0" applyFont="1" applyBorder="1" applyAlignment="1">
      <alignment horizontal="right"/>
    </xf>
    <xf numFmtId="0" fontId="191" fillId="0" borderId="0" xfId="0" applyFont="1" applyAlignment="1">
      <alignment horizontal="center"/>
    </xf>
    <xf numFmtId="0" fontId="190" fillId="64" borderId="0" xfId="0" applyFont="1" applyFill="1" applyAlignment="1">
      <alignment horizontal="center"/>
    </xf>
    <xf numFmtId="170" fontId="164" fillId="4" borderId="0" xfId="64" applyFont="1" applyFill="1" applyBorder="1" applyAlignment="1">
      <alignment horizontal="right" vertical="center"/>
    </xf>
    <xf numFmtId="0" fontId="11" fillId="4" borderId="0" xfId="0" applyFont="1" applyFill="1" applyAlignment="1">
      <alignment horizontal="left" vertical="center" wrapText="1" indent="2"/>
    </xf>
    <xf numFmtId="188" fontId="55" fillId="4" borderId="0" xfId="64" applyNumberFormat="1" applyFont="1" applyFill="1" applyBorder="1" applyAlignment="1">
      <alignment vertical="center"/>
    </xf>
    <xf numFmtId="187" fontId="164" fillId="4" borderId="0" xfId="1" applyNumberFormat="1" applyFont="1" applyFill="1" applyBorder="1" applyAlignment="1">
      <alignment vertical="center"/>
    </xf>
    <xf numFmtId="0" fontId="11" fillId="4" borderId="0" xfId="0" applyFont="1" applyFill="1" applyAlignment="1">
      <alignment vertical="center"/>
    </xf>
    <xf numFmtId="9" fontId="0" fillId="0" borderId="0" xfId="1" applyFont="1"/>
    <xf numFmtId="4" fontId="164" fillId="41" borderId="16" xfId="0" applyNumberFormat="1" applyFont="1" applyFill="1" applyBorder="1" applyAlignment="1">
      <alignment horizontal="center" vertical="center" wrapText="1"/>
    </xf>
    <xf numFmtId="4" fontId="47" fillId="76" borderId="1" xfId="67" applyNumberFormat="1" applyFont="1" applyFill="1" applyBorder="1"/>
    <xf numFmtId="0" fontId="33" fillId="0" borderId="0" xfId="67" applyFont="1" applyAlignment="1">
      <alignment horizontal="center"/>
    </xf>
    <xf numFmtId="0" fontId="157" fillId="75" borderId="1" xfId="0" applyFont="1" applyFill="1" applyBorder="1" applyAlignment="1">
      <alignment horizontal="center"/>
    </xf>
    <xf numFmtId="0" fontId="52" fillId="0" borderId="0" xfId="67" applyAlignment="1">
      <alignment horizontal="center"/>
    </xf>
    <xf numFmtId="0" fontId="157" fillId="0" borderId="0" xfId="67" applyFont="1" applyAlignment="1">
      <alignment horizontal="center"/>
    </xf>
    <xf numFmtId="0" fontId="157" fillId="42" borderId="1" xfId="0" applyFont="1" applyFill="1" applyBorder="1" applyAlignment="1">
      <alignment horizontal="center"/>
    </xf>
    <xf numFmtId="0" fontId="24" fillId="58" borderId="1" xfId="10" applyFill="1" applyBorder="1" applyAlignment="1" applyProtection="1">
      <alignment horizontal="center" vertical="center"/>
      <protection locked="0"/>
    </xf>
    <xf numFmtId="0" fontId="187" fillId="0" borderId="0" xfId="0" applyFont="1" applyAlignment="1">
      <alignment horizontal="center" vertical="center"/>
    </xf>
    <xf numFmtId="2" fontId="0" fillId="0" borderId="1" xfId="0" applyNumberFormat="1" applyBorder="1" applyAlignment="1">
      <alignment horizontal="center" vertical="center"/>
    </xf>
    <xf numFmtId="0" fontId="193" fillId="58" borderId="1" xfId="10" applyFont="1" applyFill="1" applyBorder="1" applyAlignment="1" applyProtection="1">
      <alignment horizontal="center" vertical="center" wrapText="1"/>
      <protection locked="0"/>
    </xf>
    <xf numFmtId="0" fontId="7" fillId="11" borderId="11" xfId="2" applyFont="1" applyFill="1" applyBorder="1" applyAlignment="1" applyProtection="1">
      <alignment horizontal="center" vertical="center" wrapText="1"/>
      <protection locked="0"/>
    </xf>
    <xf numFmtId="0" fontId="194" fillId="0" borderId="0" xfId="0" applyFont="1"/>
    <xf numFmtId="194" fontId="55" fillId="40" borderId="44" xfId="0" applyNumberFormat="1" applyFont="1" applyFill="1" applyBorder="1" applyAlignment="1" applyProtection="1">
      <alignment horizontal="center" vertical="center"/>
      <protection locked="0"/>
    </xf>
    <xf numFmtId="168" fontId="55" fillId="0" borderId="44" xfId="0" applyNumberFormat="1" applyFont="1" applyBorder="1" applyAlignment="1" applyProtection="1">
      <alignment horizontal="center" vertical="center"/>
      <protection hidden="1"/>
    </xf>
    <xf numFmtId="175" fontId="0" fillId="0" borderId="0" xfId="68" applyNumberFormat="1" applyFont="1" applyBorder="1" applyAlignment="1" applyProtection="1">
      <alignment horizontal="left" vertical="center"/>
      <protection hidden="1"/>
    </xf>
    <xf numFmtId="0" fontId="55" fillId="40" borderId="138" xfId="0" applyFont="1" applyFill="1" applyBorder="1" applyAlignment="1" applyProtection="1">
      <alignment horizontal="center" vertical="center"/>
      <protection locked="0"/>
    </xf>
    <xf numFmtId="194" fontId="55" fillId="40" borderId="138" xfId="0" applyNumberFormat="1" applyFont="1" applyFill="1" applyBorder="1" applyAlignment="1" applyProtection="1">
      <alignment horizontal="center" vertical="center"/>
      <protection locked="0"/>
    </xf>
    <xf numFmtId="0" fontId="55" fillId="40" borderId="138" xfId="0" applyFont="1" applyFill="1" applyBorder="1" applyAlignment="1" applyProtection="1">
      <alignment horizontal="center" vertical="center" wrapText="1"/>
      <protection locked="0"/>
    </xf>
    <xf numFmtId="0" fontId="0" fillId="0" borderId="138" xfId="0" applyBorder="1" applyAlignment="1" applyProtection="1">
      <alignment horizontal="left" vertical="center" wrapText="1"/>
      <protection hidden="1"/>
    </xf>
    <xf numFmtId="174" fontId="47" fillId="0" borderId="44" xfId="68" applyNumberFormat="1" applyFont="1" applyFill="1" applyBorder="1" applyAlignment="1" applyProtection="1">
      <alignment horizontal="center" vertical="center"/>
      <protection hidden="1"/>
    </xf>
    <xf numFmtId="0" fontId="29" fillId="0" borderId="0" xfId="0" applyFont="1" applyAlignment="1" applyProtection="1">
      <alignment wrapText="1"/>
      <protection hidden="1"/>
    </xf>
    <xf numFmtId="168" fontId="47" fillId="0" borderId="138" xfId="0" applyNumberFormat="1" applyFont="1" applyBorder="1" applyAlignment="1" applyProtection="1">
      <alignment horizontal="center" vertical="center"/>
      <protection hidden="1"/>
    </xf>
    <xf numFmtId="174" fontId="47" fillId="0" borderId="44" xfId="68" applyNumberFormat="1" applyFont="1" applyBorder="1" applyAlignment="1" applyProtection="1">
      <alignment horizontal="center" vertical="center"/>
      <protection hidden="1"/>
    </xf>
    <xf numFmtId="0" fontId="47" fillId="0" borderId="138" xfId="0" applyFont="1" applyBorder="1" applyAlignment="1" applyProtection="1">
      <alignment horizontal="center" vertical="center" wrapText="1"/>
      <protection hidden="1"/>
    </xf>
    <xf numFmtId="174" fontId="0" fillId="0" borderId="0" xfId="68" applyNumberFormat="1" applyFont="1" applyAlignment="1" applyProtection="1">
      <alignment horizontal="center" vertical="center"/>
      <protection hidden="1"/>
    </xf>
    <xf numFmtId="175" fontId="0" fillId="0" borderId="0" xfId="68" quotePrefix="1" applyNumberFormat="1" applyFont="1" applyAlignment="1" applyProtection="1">
      <alignment horizontal="left" vertical="center"/>
      <protection hidden="1"/>
    </xf>
    <xf numFmtId="195" fontId="100" fillId="0" borderId="44" xfId="0" applyNumberFormat="1" applyFont="1" applyBorder="1" applyAlignment="1" applyProtection="1">
      <alignment horizontal="center"/>
      <protection hidden="1"/>
    </xf>
    <xf numFmtId="195" fontId="11" fillId="0" borderId="44" xfId="1" applyNumberFormat="1" applyFont="1" applyFill="1" applyBorder="1" applyAlignment="1" applyProtection="1">
      <alignment horizontal="center"/>
      <protection hidden="1"/>
    </xf>
    <xf numFmtId="194" fontId="55" fillId="40" borderId="63" xfId="0" applyNumberFormat="1" applyFont="1" applyFill="1" applyBorder="1" applyAlignment="1" applyProtection="1">
      <alignment horizontal="center" vertical="center"/>
      <protection locked="0"/>
    </xf>
    <xf numFmtId="194" fontId="55" fillId="40" borderId="67" xfId="0" applyNumberFormat="1" applyFont="1" applyFill="1" applyBorder="1" applyAlignment="1" applyProtection="1">
      <alignment horizontal="center" vertical="center"/>
      <protection locked="0"/>
    </xf>
    <xf numFmtId="171" fontId="54" fillId="0" borderId="44" xfId="0" applyNumberFormat="1" applyFont="1" applyBorder="1" applyAlignment="1" applyProtection="1">
      <alignment horizontal="center"/>
      <protection hidden="1"/>
    </xf>
    <xf numFmtId="178" fontId="100" fillId="0" borderId="44" xfId="0" applyNumberFormat="1" applyFont="1" applyBorder="1" applyAlignment="1" applyProtection="1">
      <alignment horizontal="center"/>
      <protection hidden="1"/>
    </xf>
    <xf numFmtId="178" fontId="11" fillId="0" borderId="44" xfId="0" applyNumberFormat="1" applyFont="1" applyBorder="1" applyAlignment="1" applyProtection="1">
      <alignment horizontal="center"/>
      <protection hidden="1"/>
    </xf>
    <xf numFmtId="193" fontId="47" fillId="0" borderId="32" xfId="68" applyNumberFormat="1" applyFont="1" applyFill="1" applyBorder="1" applyAlignment="1">
      <alignment horizontal="center" vertical="center"/>
    </xf>
    <xf numFmtId="193" fontId="47" fillId="0" borderId="44" xfId="68" applyNumberFormat="1" applyFont="1" applyFill="1" applyBorder="1" applyAlignment="1" applyProtection="1">
      <alignment horizontal="center" vertical="center"/>
      <protection hidden="1"/>
    </xf>
    <xf numFmtId="9" fontId="47" fillId="0" borderId="44" xfId="1" applyFont="1" applyFill="1" applyBorder="1" applyAlignment="1" applyProtection="1">
      <alignment horizontal="center" vertical="center"/>
      <protection hidden="1"/>
    </xf>
    <xf numFmtId="0" fontId="146" fillId="0" borderId="0" xfId="0" applyFont="1" applyAlignment="1">
      <alignment horizontal="center" wrapText="1"/>
    </xf>
    <xf numFmtId="0" fontId="217" fillId="49" borderId="44" xfId="0" applyFont="1" applyFill="1" applyBorder="1" applyAlignment="1" applyProtection="1">
      <alignment horizontal="left" vertical="center" wrapText="1"/>
      <protection locked="0"/>
    </xf>
    <xf numFmtId="179" fontId="11" fillId="0" borderId="44" xfId="0" applyNumberFormat="1" applyFont="1" applyBorder="1" applyAlignment="1" applyProtection="1">
      <alignment horizontal="center"/>
      <protection hidden="1"/>
    </xf>
    <xf numFmtId="179" fontId="11" fillId="0" borderId="44" xfId="0" applyNumberFormat="1" applyFont="1" applyBorder="1" applyAlignment="1">
      <alignment horizontal="center"/>
    </xf>
    <xf numFmtId="179" fontId="100" fillId="0" borderId="44" xfId="0" applyNumberFormat="1" applyFont="1" applyBorder="1" applyAlignment="1" applyProtection="1">
      <alignment horizontal="center"/>
      <protection hidden="1"/>
    </xf>
    <xf numFmtId="0" fontId="13" fillId="0" borderId="0" xfId="2" applyAlignment="1">
      <alignment horizontal="left" indent="1"/>
    </xf>
    <xf numFmtId="0" fontId="13" fillId="0" borderId="0" xfId="2" applyAlignment="1">
      <alignment horizontal="left" indent="2"/>
    </xf>
    <xf numFmtId="0" fontId="9" fillId="0" borderId="0" xfId="0" applyFont="1" applyAlignment="1">
      <alignment horizontal="center"/>
    </xf>
    <xf numFmtId="164" fontId="0" fillId="0" borderId="16" xfId="0" applyNumberFormat="1" applyBorder="1" applyAlignment="1">
      <alignment horizontal="center" vertical="center"/>
    </xf>
    <xf numFmtId="0" fontId="8" fillId="0" borderId="72" xfId="0" applyFont="1" applyBorder="1" applyAlignment="1">
      <alignment horizontal="left"/>
    </xf>
    <xf numFmtId="0" fontId="8" fillId="0" borderId="41" xfId="0" applyFont="1" applyBorder="1" applyAlignment="1">
      <alignment horizontal="left" wrapText="1"/>
    </xf>
    <xf numFmtId="0" fontId="8" fillId="0" borderId="115" xfId="0" applyFont="1" applyBorder="1" applyAlignment="1">
      <alignment horizontal="left" wrapText="1"/>
    </xf>
    <xf numFmtId="0" fontId="8" fillId="0" borderId="73" xfId="0" applyFont="1" applyBorder="1" applyAlignment="1">
      <alignment horizontal="left"/>
    </xf>
    <xf numFmtId="164" fontId="0" fillId="0" borderId="40" xfId="0" applyNumberFormat="1" applyBorder="1" applyAlignment="1">
      <alignment horizontal="center" vertical="center"/>
    </xf>
    <xf numFmtId="37" fontId="11" fillId="40" borderId="44" xfId="68" applyNumberFormat="1" applyFont="1" applyFill="1" applyBorder="1" applyAlignment="1" applyProtection="1">
      <alignment horizontal="center"/>
      <protection locked="0"/>
    </xf>
    <xf numFmtId="178" fontId="11" fillId="0" borderId="44" xfId="0" applyNumberFormat="1" applyFont="1" applyBorder="1" applyAlignment="1">
      <alignment horizontal="center"/>
    </xf>
    <xf numFmtId="1" fontId="11" fillId="40" borderId="44" xfId="0" applyNumberFormat="1" applyFont="1" applyFill="1" applyBorder="1" applyAlignment="1" applyProtection="1">
      <alignment horizontal="center"/>
      <protection locked="0"/>
    </xf>
    <xf numFmtId="37" fontId="11" fillId="0" borderId="44" xfId="0" applyNumberFormat="1" applyFont="1" applyBorder="1" applyAlignment="1" applyProtection="1">
      <alignment horizontal="center"/>
      <protection hidden="1"/>
    </xf>
    <xf numFmtId="0" fontId="220" fillId="0" borderId="0" xfId="0" applyFont="1" applyProtection="1">
      <protection hidden="1"/>
    </xf>
    <xf numFmtId="174" fontId="11" fillId="0" borderId="44" xfId="0" applyNumberFormat="1" applyFont="1" applyBorder="1" applyAlignment="1" applyProtection="1">
      <alignment horizontal="center"/>
      <protection hidden="1"/>
    </xf>
    <xf numFmtId="39" fontId="11" fillId="0" borderId="44" xfId="68" applyNumberFormat="1" applyFont="1" applyBorder="1" applyAlignment="1" applyProtection="1">
      <alignment horizontal="center"/>
      <protection hidden="1"/>
    </xf>
    <xf numFmtId="37" fontId="100" fillId="0" borderId="44" xfId="68" applyNumberFormat="1" applyFont="1" applyFill="1" applyBorder="1" applyAlignment="1" applyProtection="1">
      <alignment horizontal="center"/>
    </xf>
    <xf numFmtId="37" fontId="11" fillId="0" borderId="44" xfId="68" applyNumberFormat="1" applyFont="1" applyFill="1" applyBorder="1" applyAlignment="1" applyProtection="1">
      <alignment horizontal="center"/>
    </xf>
    <xf numFmtId="0" fontId="9" fillId="0" borderId="0" xfId="0" applyFont="1" applyAlignment="1" applyProtection="1">
      <alignment horizontal="center"/>
      <protection locked="0"/>
    </xf>
    <xf numFmtId="3" fontId="9" fillId="0" borderId="0" xfId="0" applyNumberFormat="1" applyFont="1" applyAlignment="1" applyProtection="1">
      <alignment horizontal="center"/>
      <protection locked="0"/>
    </xf>
    <xf numFmtId="0" fontId="115" fillId="0" borderId="0" xfId="0" applyFont="1" applyAlignment="1">
      <alignment horizontal="left" vertical="top" wrapText="1" indent="2"/>
    </xf>
    <xf numFmtId="164" fontId="0" fillId="0" borderId="1" xfId="0" applyNumberFormat="1" applyBorder="1" applyAlignment="1">
      <alignment horizontal="center" vertical="center"/>
    </xf>
    <xf numFmtId="164" fontId="0" fillId="0" borderId="14" xfId="0" applyNumberFormat="1" applyBorder="1" applyAlignment="1">
      <alignment horizontal="center" vertical="center"/>
    </xf>
    <xf numFmtId="0" fontId="94" fillId="0" borderId="0" xfId="0" applyFont="1" applyAlignment="1" applyProtection="1">
      <alignment horizontal="left" indent="1"/>
      <protection hidden="1"/>
    </xf>
    <xf numFmtId="4" fontId="94" fillId="0" borderId="0" xfId="0" applyNumberFormat="1" applyFont="1" applyAlignment="1" applyProtection="1">
      <alignment horizontal="left"/>
      <protection hidden="1"/>
    </xf>
    <xf numFmtId="0" fontId="13" fillId="0" borderId="0" xfId="2" applyBorder="1" applyAlignment="1">
      <alignment horizontal="left" indent="1"/>
    </xf>
    <xf numFmtId="0" fontId="13" fillId="0" borderId="0" xfId="2" applyBorder="1" applyAlignment="1"/>
    <xf numFmtId="194" fontId="100" fillId="40" borderId="44" xfId="0" applyNumberFormat="1" applyFont="1" applyFill="1" applyBorder="1" applyAlignment="1" applyProtection="1">
      <alignment horizontal="center"/>
      <protection locked="0"/>
    </xf>
    <xf numFmtId="194" fontId="11" fillId="40" borderId="44" xfId="0" applyNumberFormat="1" applyFont="1" applyFill="1" applyBorder="1" applyAlignment="1" applyProtection="1">
      <alignment horizontal="center"/>
      <protection locked="0"/>
    </xf>
    <xf numFmtId="4" fontId="11" fillId="0" borderId="0" xfId="0" applyNumberFormat="1" applyFont="1" applyAlignment="1" applyProtection="1">
      <alignment horizontal="center"/>
      <protection hidden="1"/>
    </xf>
    <xf numFmtId="0" fontId="11" fillId="0" borderId="0" xfId="0" applyFont="1" applyProtection="1">
      <protection hidden="1"/>
    </xf>
    <xf numFmtId="0" fontId="11" fillId="0" borderId="0" xfId="0" applyFont="1" applyAlignment="1" applyProtection="1">
      <alignment vertical="center"/>
      <protection hidden="1"/>
    </xf>
    <xf numFmtId="0" fontId="54" fillId="0" borderId="0" xfId="0" applyFont="1" applyAlignment="1" applyProtection="1">
      <alignment horizontal="left" vertical="center" wrapText="1" indent="1"/>
      <protection hidden="1"/>
    </xf>
    <xf numFmtId="0" fontId="0" fillId="4" borderId="0" xfId="0" applyFill="1" applyAlignment="1" applyProtection="1">
      <alignment vertical="top" wrapText="1"/>
      <protection hidden="1"/>
    </xf>
    <xf numFmtId="4" fontId="48" fillId="0" borderId="153" xfId="0" applyNumberFormat="1" applyFont="1" applyBorder="1" applyAlignment="1" applyProtection="1">
      <alignment horizontal="right" vertical="center" indent="1"/>
      <protection hidden="1"/>
    </xf>
    <xf numFmtId="0" fontId="11" fillId="0" borderId="153" xfId="0" applyFont="1" applyBorder="1" applyAlignment="1" applyProtection="1">
      <alignment horizontal="left" vertical="center" indent="1"/>
      <protection hidden="1"/>
    </xf>
    <xf numFmtId="0" fontId="11" fillId="0" borderId="153" xfId="0" applyFont="1" applyBorder="1" applyAlignment="1" applyProtection="1">
      <alignment horizontal="left" vertical="center" wrapText="1" indent="1"/>
      <protection hidden="1"/>
    </xf>
    <xf numFmtId="0" fontId="0" fillId="4" borderId="158" xfId="0" applyFill="1" applyBorder="1" applyAlignment="1" applyProtection="1">
      <alignment vertical="top" wrapText="1"/>
      <protection hidden="1"/>
    </xf>
    <xf numFmtId="0" fontId="0" fillId="4" borderId="0" xfId="0" applyFill="1" applyAlignment="1" applyProtection="1">
      <alignment horizontal="left" vertical="top" wrapText="1"/>
      <protection hidden="1"/>
    </xf>
    <xf numFmtId="4" fontId="0" fillId="0" borderId="158" xfId="0" applyNumberFormat="1" applyBorder="1" applyAlignment="1" applyProtection="1">
      <alignment horizontal="center"/>
      <protection hidden="1"/>
    </xf>
    <xf numFmtId="0" fontId="0" fillId="0" borderId="157" xfId="0" applyBorder="1" applyProtection="1">
      <protection hidden="1"/>
    </xf>
    <xf numFmtId="0" fontId="0" fillId="0" borderId="158" xfId="0" applyBorder="1" applyProtection="1">
      <protection hidden="1"/>
    </xf>
    <xf numFmtId="0" fontId="0" fillId="0" borderId="159" xfId="0" applyBorder="1" applyProtection="1">
      <protection hidden="1"/>
    </xf>
    <xf numFmtId="0" fontId="0" fillId="0" borderId="160" xfId="0" applyBorder="1" applyProtection="1">
      <protection hidden="1"/>
    </xf>
    <xf numFmtId="2" fontId="41" fillId="49" borderId="153" xfId="0" applyNumberFormat="1" applyFont="1" applyFill="1" applyBorder="1" applyAlignment="1" applyProtection="1">
      <alignment horizontal="center" vertical="center"/>
      <protection locked="0"/>
    </xf>
    <xf numFmtId="0" fontId="41" fillId="0" borderId="0" xfId="0" applyFont="1" applyAlignment="1" applyProtection="1">
      <alignment horizontal="center"/>
      <protection locked="0"/>
    </xf>
    <xf numFmtId="0" fontId="11" fillId="0" borderId="158" xfId="0" applyFont="1" applyBorder="1" applyProtection="1">
      <protection hidden="1"/>
    </xf>
    <xf numFmtId="4" fontId="48" fillId="0" borderId="157" xfId="0" applyNumberFormat="1" applyFont="1" applyBorder="1" applyAlignment="1" applyProtection="1">
      <alignment horizontal="right" vertical="center" indent="1"/>
      <protection hidden="1"/>
    </xf>
    <xf numFmtId="0" fontId="13" fillId="4" borderId="161" xfId="2" applyFill="1" applyBorder="1" applyAlignment="1" applyProtection="1">
      <alignment horizontal="left" vertical="top" indent="1"/>
      <protection hidden="1"/>
    </xf>
    <xf numFmtId="4" fontId="11" fillId="0" borderId="159" xfId="0" applyNumberFormat="1" applyFont="1" applyBorder="1" applyAlignment="1" applyProtection="1">
      <alignment horizontal="center"/>
      <protection hidden="1"/>
    </xf>
    <xf numFmtId="0" fontId="11" fillId="0" borderId="163" xfId="0" applyFont="1" applyBorder="1" applyAlignment="1" applyProtection="1">
      <alignment horizontal="left" vertical="center" indent="4"/>
      <protection hidden="1"/>
    </xf>
    <xf numFmtId="0" fontId="0" fillId="0" borderId="0" xfId="0" applyAlignment="1">
      <alignment horizontal="left" indent="4"/>
    </xf>
    <xf numFmtId="0" fontId="0" fillId="0" borderId="0" xfId="0" applyAlignment="1" applyProtection="1">
      <alignment horizontal="left" indent="4"/>
      <protection hidden="1"/>
    </xf>
    <xf numFmtId="0" fontId="11" fillId="0" borderId="0" xfId="0" applyFont="1" applyAlignment="1">
      <alignment horizontal="left" vertical="top" indent="4"/>
    </xf>
    <xf numFmtId="0" fontId="11" fillId="4" borderId="157" xfId="0" applyFont="1" applyFill="1" applyBorder="1" applyAlignment="1" applyProtection="1">
      <alignment horizontal="left" vertical="top" indent="1"/>
      <protection hidden="1"/>
    </xf>
    <xf numFmtId="0" fontId="93" fillId="0" borderId="157" xfId="0" applyFont="1" applyBorder="1" applyAlignment="1" applyProtection="1">
      <alignment horizontal="left" vertical="center"/>
      <protection hidden="1"/>
    </xf>
    <xf numFmtId="0" fontId="93" fillId="0" borderId="0" xfId="0" applyFont="1" applyAlignment="1" applyProtection="1">
      <alignment horizontal="left" vertical="center"/>
      <protection hidden="1"/>
    </xf>
    <xf numFmtId="0" fontId="93" fillId="0" borderId="158" xfId="0" applyFont="1" applyBorder="1" applyAlignment="1" applyProtection="1">
      <alignment horizontal="left" vertical="center"/>
      <protection hidden="1"/>
    </xf>
    <xf numFmtId="0" fontId="46" fillId="0" borderId="44" xfId="0" applyFont="1" applyBorder="1" applyAlignment="1" applyProtection="1">
      <alignment horizontal="left" vertical="center" wrapText="1"/>
      <protection hidden="1"/>
    </xf>
    <xf numFmtId="0" fontId="7" fillId="50" borderId="78" xfId="0" applyFont="1" applyFill="1" applyBorder="1" applyAlignment="1">
      <alignment horizontal="center" wrapText="1"/>
    </xf>
    <xf numFmtId="0" fontId="97" fillId="0" borderId="78" xfId="2" applyNumberFormat="1" applyFont="1" applyFill="1" applyBorder="1" applyAlignment="1" applyProtection="1">
      <alignment horizontal="center" vertical="center"/>
      <protection locked="0"/>
    </xf>
    <xf numFmtId="3" fontId="0" fillId="0" borderId="78" xfId="0" applyNumberFormat="1" applyBorder="1" applyAlignment="1" applyProtection="1">
      <alignment horizontal="center"/>
      <protection hidden="1"/>
    </xf>
    <xf numFmtId="0" fontId="97" fillId="0" borderId="78" xfId="2" applyFont="1" applyFill="1" applyBorder="1" applyAlignment="1">
      <alignment horizontal="center" vertical="center"/>
    </xf>
    <xf numFmtId="0" fontId="0" fillId="0" borderId="78" xfId="0" applyBorder="1" applyAlignment="1" applyProtection="1">
      <alignment vertical="center" wrapText="1"/>
      <protection hidden="1"/>
    </xf>
    <xf numFmtId="3" fontId="0" fillId="0" borderId="78" xfId="0" applyNumberFormat="1" applyBorder="1" applyAlignment="1" applyProtection="1">
      <alignment horizontal="center" vertical="center"/>
      <protection hidden="1"/>
    </xf>
    <xf numFmtId="0" fontId="7" fillId="50" borderId="78" xfId="0" applyFont="1" applyFill="1" applyBorder="1" applyAlignment="1">
      <alignment horizontal="right" indent="1"/>
    </xf>
    <xf numFmtId="3" fontId="7" fillId="50" borderId="78" xfId="0" applyNumberFormat="1" applyFont="1" applyFill="1" applyBorder="1" applyAlignment="1">
      <alignment horizontal="center"/>
    </xf>
    <xf numFmtId="9" fontId="7" fillId="50" borderId="78" xfId="1" applyFont="1" applyFill="1" applyBorder="1" applyAlignment="1">
      <alignment horizontal="center"/>
    </xf>
    <xf numFmtId="0" fontId="0" fillId="0" borderId="78" xfId="0" applyBorder="1" applyAlignment="1" applyProtection="1">
      <alignment horizontal="center"/>
      <protection hidden="1"/>
    </xf>
    <xf numFmtId="3" fontId="0" fillId="2" borderId="78" xfId="0" applyNumberFormat="1" applyFill="1" applyBorder="1" applyAlignment="1" applyProtection="1">
      <alignment horizontal="center"/>
      <protection locked="0"/>
    </xf>
    <xf numFmtId="0" fontId="8" fillId="0" borderId="78" xfId="0" applyFont="1" applyBorder="1" applyAlignment="1" applyProtection="1">
      <alignment horizontal="right"/>
      <protection hidden="1"/>
    </xf>
    <xf numFmtId="3" fontId="8" fillId="0" borderId="78" xfId="0" applyNumberFormat="1" applyFont="1" applyBorder="1" applyAlignment="1" applyProtection="1">
      <alignment horizontal="center"/>
      <protection hidden="1"/>
    </xf>
    <xf numFmtId="0" fontId="0" fillId="0" borderId="166" xfId="0" applyBorder="1" applyProtection="1">
      <protection hidden="1"/>
    </xf>
    <xf numFmtId="0" fontId="0" fillId="0" borderId="165" xfId="0" applyBorder="1" applyProtection="1">
      <protection hidden="1"/>
    </xf>
    <xf numFmtId="0" fontId="227" fillId="85" borderId="48" xfId="2" applyNumberFormat="1" applyFont="1" applyFill="1" applyBorder="1" applyAlignment="1" applyProtection="1">
      <alignment horizontal="left" vertical="center" indent="1"/>
      <protection locked="0"/>
    </xf>
    <xf numFmtId="0" fontId="227" fillId="85" borderId="52" xfId="2" applyNumberFormat="1" applyFont="1" applyFill="1" applyBorder="1" applyAlignment="1" applyProtection="1">
      <alignment horizontal="left" vertical="center" indent="1"/>
      <protection locked="0"/>
    </xf>
    <xf numFmtId="0" fontId="227" fillId="85" borderId="52" xfId="2" applyFont="1" applyFill="1" applyBorder="1" applyAlignment="1">
      <alignment horizontal="left" vertical="center" indent="1"/>
    </xf>
    <xf numFmtId="0" fontId="227" fillId="85" borderId="57" xfId="2" applyFont="1" applyFill="1" applyBorder="1" applyAlignment="1">
      <alignment horizontal="left" vertical="center" indent="1"/>
    </xf>
    <xf numFmtId="0" fontId="227" fillId="85" borderId="58" xfId="2" applyFont="1" applyFill="1" applyBorder="1" applyAlignment="1">
      <alignment horizontal="left" vertical="center" wrapText="1" indent="1"/>
    </xf>
    <xf numFmtId="0" fontId="97" fillId="85" borderId="59" xfId="2" applyFont="1" applyFill="1" applyBorder="1" applyAlignment="1">
      <alignment horizontal="left" vertical="center" indent="1"/>
    </xf>
    <xf numFmtId="0" fontId="7" fillId="39" borderId="0" xfId="0" applyFont="1" applyFill="1" applyAlignment="1">
      <alignment horizontal="left"/>
    </xf>
    <xf numFmtId="37" fontId="11" fillId="0" borderId="44" xfId="68" applyNumberFormat="1" applyFont="1" applyBorder="1" applyAlignment="1" applyProtection="1">
      <alignment horizontal="center"/>
      <protection hidden="1"/>
    </xf>
    <xf numFmtId="37" fontId="11" fillId="0" borderId="44" xfId="68" applyNumberFormat="1" applyFont="1" applyBorder="1" applyAlignment="1" applyProtection="1">
      <alignment horizontal="left"/>
      <protection hidden="1"/>
    </xf>
    <xf numFmtId="0" fontId="228" fillId="39" borderId="0" xfId="0" applyFont="1" applyFill="1" applyAlignment="1">
      <alignment horizontal="left"/>
    </xf>
    <xf numFmtId="0" fontId="234" fillId="0" borderId="0" xfId="0" applyFont="1" applyAlignment="1">
      <alignment vertical="top"/>
    </xf>
    <xf numFmtId="167" fontId="11" fillId="0" borderId="44" xfId="0" applyNumberFormat="1" applyFont="1" applyBorder="1" applyAlignment="1" applyProtection="1">
      <alignment horizontal="center"/>
      <protection hidden="1"/>
    </xf>
    <xf numFmtId="0" fontId="11" fillId="0" borderId="44" xfId="0" applyFont="1" applyBorder="1" applyProtection="1">
      <protection hidden="1"/>
    </xf>
    <xf numFmtId="3" fontId="11" fillId="0" borderId="44" xfId="0" applyNumberFormat="1" applyFont="1" applyBorder="1" applyAlignment="1" applyProtection="1">
      <alignment horizontal="left"/>
      <protection hidden="1"/>
    </xf>
    <xf numFmtId="4" fontId="100" fillId="0" borderId="44" xfId="0" quotePrefix="1" applyNumberFormat="1" applyFont="1" applyBorder="1" applyAlignment="1" applyProtection="1">
      <alignment horizontal="center"/>
      <protection hidden="1"/>
    </xf>
    <xf numFmtId="4" fontId="0" fillId="0" borderId="44" xfId="0" applyNumberFormat="1" applyBorder="1" applyAlignment="1">
      <alignment horizontal="center" vertical="center" wrapText="1"/>
    </xf>
    <xf numFmtId="0" fontId="11" fillId="40" borderId="63" xfId="0" applyFont="1" applyFill="1" applyBorder="1" applyAlignment="1" applyProtection="1">
      <alignment horizontal="left" vertical="center"/>
      <protection locked="0"/>
    </xf>
    <xf numFmtId="0" fontId="100" fillId="40" borderId="44" xfId="0" applyFont="1" applyFill="1" applyBorder="1" applyAlignment="1" applyProtection="1">
      <alignment horizontal="left"/>
      <protection locked="0"/>
    </xf>
    <xf numFmtId="0" fontId="0" fillId="40" borderId="44" xfId="0" applyFill="1" applyBorder="1" applyAlignment="1" applyProtection="1">
      <alignment horizontal="left"/>
      <protection locked="0"/>
    </xf>
    <xf numFmtId="4" fontId="0" fillId="0" borderId="71" xfId="0" applyNumberFormat="1" applyBorder="1" applyAlignment="1">
      <alignment horizontal="center" vertical="center"/>
    </xf>
    <xf numFmtId="4" fontId="11" fillId="0" borderId="71" xfId="0" applyNumberFormat="1" applyFont="1" applyBorder="1" applyAlignment="1" applyProtection="1">
      <alignment horizontal="center"/>
      <protection hidden="1"/>
    </xf>
    <xf numFmtId="4" fontId="11" fillId="0" borderId="71" xfId="0" applyNumberFormat="1" applyFont="1" applyBorder="1" applyAlignment="1">
      <alignment horizontal="center"/>
    </xf>
    <xf numFmtId="0" fontId="95" fillId="0" borderId="0" xfId="0" applyFont="1" applyAlignment="1" applyProtection="1">
      <alignment horizontal="left"/>
      <protection hidden="1"/>
    </xf>
    <xf numFmtId="0" fontId="95" fillId="0" borderId="0" xfId="0" applyFont="1" applyAlignment="1" applyProtection="1">
      <alignment horizontal="left" vertical="center"/>
      <protection hidden="1"/>
    </xf>
    <xf numFmtId="0" fontId="41" fillId="49" borderId="153" xfId="0" applyFont="1" applyFill="1" applyBorder="1" applyAlignment="1" applyProtection="1">
      <alignment horizontal="center" vertical="center"/>
      <protection locked="0"/>
    </xf>
    <xf numFmtId="4" fontId="94" fillId="0" borderId="0" xfId="0" applyNumberFormat="1" applyFont="1" applyAlignment="1" applyProtection="1">
      <alignment horizontal="right" vertical="center" indent="3"/>
      <protection hidden="1"/>
    </xf>
    <xf numFmtId="0" fontId="0" fillId="0" borderId="0" xfId="0" applyAlignment="1" applyProtection="1">
      <alignment horizontal="right" indent="3"/>
      <protection hidden="1"/>
    </xf>
    <xf numFmtId="0" fontId="11" fillId="4" borderId="0" xfId="0" applyFont="1" applyFill="1" applyAlignment="1" applyProtection="1">
      <alignment vertical="top"/>
      <protection hidden="1"/>
    </xf>
    <xf numFmtId="0" fontId="11" fillId="4" borderId="157" xfId="0" applyFont="1" applyFill="1" applyBorder="1" applyAlignment="1" applyProtection="1">
      <alignment horizontal="left" indent="3"/>
      <protection hidden="1"/>
    </xf>
    <xf numFmtId="0" fontId="155" fillId="0" borderId="159" xfId="2" applyFont="1" applyBorder="1" applyAlignment="1" applyProtection="1">
      <alignment horizontal="left" vertical="top"/>
      <protection hidden="1"/>
    </xf>
    <xf numFmtId="0" fontId="0" fillId="0" borderId="0" xfId="0" applyAlignment="1">
      <alignment vertical="top"/>
    </xf>
    <xf numFmtId="0" fontId="0" fillId="0" borderId="0" xfId="0" applyAlignment="1" applyProtection="1">
      <alignment vertical="top"/>
      <protection hidden="1"/>
    </xf>
    <xf numFmtId="0" fontId="155" fillId="0" borderId="0" xfId="2" applyFont="1" applyBorder="1" applyAlignment="1" applyProtection="1">
      <alignment horizontal="left" vertical="top"/>
      <protection hidden="1"/>
    </xf>
    <xf numFmtId="4" fontId="11" fillId="0" borderId="0" xfId="0" applyNumberFormat="1" applyFont="1" applyAlignment="1" applyProtection="1">
      <alignment horizontal="center" vertical="top"/>
      <protection hidden="1"/>
    </xf>
    <xf numFmtId="0" fontId="0" fillId="0" borderId="158" xfId="0" applyBorder="1" applyAlignment="1" applyProtection="1">
      <alignment vertical="top"/>
      <protection hidden="1"/>
    </xf>
    <xf numFmtId="0" fontId="0" fillId="0" borderId="0" xfId="0" applyAlignment="1" applyProtection="1">
      <alignment vertical="top" wrapText="1"/>
      <protection hidden="1"/>
    </xf>
    <xf numFmtId="0" fontId="153" fillId="0" borderId="161" xfId="2" applyFont="1" applyBorder="1" applyAlignment="1" applyProtection="1">
      <alignment horizontal="left" vertical="top" indent="3"/>
      <protection hidden="1"/>
    </xf>
    <xf numFmtId="164" fontId="0" fillId="0" borderId="0" xfId="0" applyNumberFormat="1" applyAlignment="1" applyProtection="1">
      <alignment horizontal="center"/>
      <protection hidden="1"/>
    </xf>
    <xf numFmtId="3" fontId="100" fillId="40" borderId="44" xfId="68" applyNumberFormat="1" applyFont="1" applyFill="1" applyBorder="1" applyAlignment="1" applyProtection="1">
      <alignment horizontal="center"/>
      <protection locked="0"/>
    </xf>
    <xf numFmtId="193" fontId="100" fillId="0" borderId="44" xfId="68" applyNumberFormat="1" applyFont="1" applyBorder="1" applyAlignment="1" applyProtection="1">
      <alignment horizontal="center"/>
      <protection hidden="1"/>
    </xf>
    <xf numFmtId="193" fontId="116" fillId="0" borderId="44" xfId="68" applyNumberFormat="1" applyFont="1" applyBorder="1" applyAlignment="1" applyProtection="1">
      <alignment horizontal="center"/>
      <protection hidden="1"/>
    </xf>
    <xf numFmtId="0" fontId="10" fillId="0" borderId="0" xfId="0" applyFont="1" applyAlignment="1">
      <alignment horizontal="right"/>
    </xf>
    <xf numFmtId="3" fontId="10" fillId="0" borderId="0" xfId="0" applyNumberFormat="1" applyFont="1" applyAlignment="1" applyProtection="1">
      <alignment horizontal="center"/>
      <protection locked="0"/>
    </xf>
    <xf numFmtId="0" fontId="98" fillId="0" borderId="0" xfId="0" applyFont="1" applyAlignment="1">
      <alignment horizontal="left" indent="3"/>
    </xf>
    <xf numFmtId="0" fontId="99" fillId="0" borderId="0" xfId="0" applyFont="1" applyAlignment="1">
      <alignment horizontal="left" indent="3"/>
    </xf>
    <xf numFmtId="0" fontId="85" fillId="0" borderId="0" xfId="0" applyFont="1" applyAlignment="1">
      <alignment horizontal="left"/>
    </xf>
    <xf numFmtId="0" fontId="100" fillId="40" borderId="44" xfId="0" applyFont="1" applyFill="1" applyBorder="1" applyAlignment="1" applyProtection="1">
      <alignment horizontal="left" wrapText="1"/>
      <protection locked="0"/>
    </xf>
    <xf numFmtId="0" fontId="7" fillId="39" borderId="0" xfId="0" applyFont="1" applyFill="1" applyAlignment="1">
      <alignment horizontal="left" wrapText="1"/>
    </xf>
    <xf numFmtId="4" fontId="11" fillId="0" borderId="44" xfId="0" applyNumberFormat="1" applyFont="1" applyBorder="1" applyAlignment="1">
      <alignment horizontal="center" vertical="center" wrapText="1"/>
    </xf>
    <xf numFmtId="171" fontId="11" fillId="0" borderId="44" xfId="0" applyNumberFormat="1" applyFont="1" applyBorder="1" applyAlignment="1" applyProtection="1">
      <alignment horizontal="center"/>
      <protection hidden="1"/>
    </xf>
    <xf numFmtId="0" fontId="0" fillId="0" borderId="0" xfId="0" applyAlignment="1">
      <alignment horizontal="left" indent="3"/>
    </xf>
    <xf numFmtId="0" fontId="0" fillId="0" borderId="78" xfId="0" applyBorder="1" applyAlignment="1" applyProtection="1">
      <alignment vertical="center"/>
      <protection hidden="1"/>
    </xf>
    <xf numFmtId="187" fontId="0" fillId="0" borderId="78" xfId="1" applyNumberFormat="1" applyFont="1" applyFill="1" applyBorder="1" applyAlignment="1">
      <alignment horizontal="center" vertical="center"/>
    </xf>
    <xf numFmtId="3" fontId="0" fillId="0" borderId="0" xfId="0" quotePrefix="1" applyNumberFormat="1" applyAlignment="1">
      <alignment horizontal="center" vertical="center"/>
    </xf>
    <xf numFmtId="4" fontId="100" fillId="0" borderId="65" xfId="0" applyNumberFormat="1" applyFont="1" applyBorder="1" applyAlignment="1" applyProtection="1">
      <alignment horizontal="center" vertical="center"/>
      <protection hidden="1"/>
    </xf>
    <xf numFmtId="3" fontId="11" fillId="0" borderId="65" xfId="0" applyNumberFormat="1" applyFont="1" applyBorder="1" applyAlignment="1" applyProtection="1">
      <alignment horizontal="center" vertical="center"/>
      <protection hidden="1"/>
    </xf>
    <xf numFmtId="4" fontId="0" fillId="0" borderId="47" xfId="0" applyNumberFormat="1" applyBorder="1" applyAlignment="1" applyProtection="1">
      <alignment horizontal="center" vertical="center"/>
      <protection hidden="1"/>
    </xf>
    <xf numFmtId="167" fontId="0" fillId="0" borderId="71" xfId="0" applyNumberFormat="1" applyBorder="1" applyAlignment="1" applyProtection="1">
      <alignment horizontal="center"/>
      <protection hidden="1"/>
    </xf>
    <xf numFmtId="0" fontId="11" fillId="40" borderId="0" xfId="0" applyFont="1" applyFill="1"/>
    <xf numFmtId="0" fontId="253" fillId="40" borderId="0" xfId="0" applyFont="1" applyFill="1" applyAlignment="1">
      <alignment horizontal="left" vertical="top" indent="1"/>
    </xf>
    <xf numFmtId="0" fontId="254" fillId="40" borderId="0" xfId="0" applyFont="1" applyFill="1" applyAlignment="1">
      <alignment horizontal="left" vertical="top" wrapText="1"/>
    </xf>
    <xf numFmtId="3" fontId="11" fillId="40" borderId="63" xfId="0" applyNumberFormat="1" applyFont="1" applyFill="1" applyBorder="1" applyAlignment="1" applyProtection="1">
      <alignment horizontal="center" vertical="center"/>
      <protection locked="0"/>
    </xf>
    <xf numFmtId="167" fontId="100" fillId="0" borderId="44" xfId="0" applyNumberFormat="1" applyFont="1" applyBorder="1" applyAlignment="1" applyProtection="1">
      <alignment horizontal="center"/>
      <protection hidden="1"/>
    </xf>
    <xf numFmtId="0" fontId="13" fillId="0" borderId="0" xfId="2" applyAlignment="1">
      <alignment horizontal="left"/>
    </xf>
    <xf numFmtId="0" fontId="144" fillId="0" borderId="0" xfId="2" applyFont="1" applyFill="1" applyAlignment="1">
      <alignment horizontal="left" indent="1"/>
    </xf>
    <xf numFmtId="0" fontId="13" fillId="0" borderId="0" xfId="2" applyFill="1"/>
    <xf numFmtId="0" fontId="47" fillId="46" borderId="44" xfId="0" applyFont="1" applyFill="1" applyBorder="1" applyAlignment="1" applyProtection="1">
      <alignment horizontal="center" vertical="center" wrapText="1"/>
      <protection hidden="1"/>
    </xf>
    <xf numFmtId="0" fontId="8" fillId="40" borderId="0" xfId="0" applyFont="1" applyFill="1" applyAlignment="1" applyProtection="1">
      <alignment horizontal="center" vertical="center" textRotation="90"/>
      <protection hidden="1"/>
    </xf>
    <xf numFmtId="0" fontId="7" fillId="44" borderId="31" xfId="0" applyFont="1" applyFill="1" applyBorder="1" applyProtection="1">
      <protection hidden="1"/>
    </xf>
    <xf numFmtId="0" fontId="7" fillId="44" borderId="32" xfId="0" applyFont="1" applyFill="1" applyBorder="1" applyProtection="1">
      <protection hidden="1"/>
    </xf>
    <xf numFmtId="0" fontId="7" fillId="44" borderId="33" xfId="0" applyFont="1" applyFill="1" applyBorder="1" applyProtection="1">
      <protection hidden="1"/>
    </xf>
    <xf numFmtId="0" fontId="7" fillId="0" borderId="0" xfId="0" applyFont="1" applyProtection="1">
      <protection hidden="1"/>
    </xf>
    <xf numFmtId="0" fontId="8" fillId="40" borderId="0" xfId="0" applyFont="1" applyFill="1" applyProtection="1">
      <protection hidden="1"/>
    </xf>
    <xf numFmtId="0" fontId="11" fillId="0" borderId="1" xfId="8" applyFont="1" applyFill="1" applyBorder="1" applyAlignment="1" applyProtection="1">
      <alignment horizontal="left"/>
      <protection hidden="1"/>
    </xf>
    <xf numFmtId="0" fontId="11" fillId="0" borderId="27" xfId="8" applyFont="1" applyFill="1" applyBorder="1" applyAlignment="1" applyProtection="1">
      <alignment horizontal="left"/>
      <protection hidden="1"/>
    </xf>
    <xf numFmtId="172" fontId="11" fillId="0" borderId="27" xfId="8" applyNumberFormat="1" applyFont="1" applyFill="1" applyBorder="1" applyAlignment="1" applyProtection="1">
      <alignment horizontal="left"/>
      <protection hidden="1"/>
    </xf>
    <xf numFmtId="0" fontId="11" fillId="0" borderId="1" xfId="8" applyFont="1" applyFill="1" applyBorder="1" applyProtection="1">
      <protection hidden="1"/>
    </xf>
    <xf numFmtId="0" fontId="11" fillId="0" borderId="27" xfId="8" applyFont="1" applyFill="1" applyBorder="1" applyAlignment="1" applyProtection="1">
      <alignment wrapText="1"/>
      <protection hidden="1"/>
    </xf>
    <xf numFmtId="0" fontId="8" fillId="0" borderId="0" xfId="0" applyFont="1" applyAlignment="1" applyProtection="1">
      <alignment horizontal="left" vertical="center"/>
      <protection hidden="1"/>
    </xf>
    <xf numFmtId="0" fontId="13" fillId="0" borderId="0" xfId="2" applyAlignment="1" applyProtection="1">
      <alignment horizontal="left" vertical="center" indent="1"/>
      <protection hidden="1"/>
    </xf>
    <xf numFmtId="0" fontId="18" fillId="0" borderId="0" xfId="0" applyFont="1" applyAlignment="1" applyProtection="1">
      <alignment vertical="center"/>
      <protection hidden="1"/>
    </xf>
    <xf numFmtId="0" fontId="48" fillId="0" borderId="0" xfId="0" applyFont="1" applyAlignment="1" applyProtection="1">
      <alignment vertical="center" wrapText="1"/>
      <protection hidden="1"/>
    </xf>
    <xf numFmtId="0" fontId="8" fillId="0" borderId="0" xfId="0" applyFont="1" applyAlignment="1" applyProtection="1">
      <alignment vertical="center"/>
      <protection hidden="1"/>
    </xf>
    <xf numFmtId="2" fontId="16" fillId="37" borderId="0" xfId="37" applyNumberFormat="1" applyFont="1" applyFill="1" applyAlignment="1" applyProtection="1">
      <alignment vertical="center"/>
      <protection hidden="1"/>
    </xf>
    <xf numFmtId="0" fontId="48" fillId="0" borderId="1" xfId="0" applyFont="1" applyBorder="1" applyAlignment="1" applyProtection="1">
      <alignment horizontal="center" vertical="center"/>
      <protection hidden="1"/>
    </xf>
    <xf numFmtId="0" fontId="48" fillId="0" borderId="1" xfId="0" applyFont="1" applyBorder="1" applyAlignment="1" applyProtection="1">
      <alignment horizontal="center" vertical="center" wrapText="1"/>
      <protection hidden="1"/>
    </xf>
    <xf numFmtId="0" fontId="0" fillId="46" borderId="78" xfId="0" applyFill="1" applyBorder="1" applyAlignment="1" applyProtection="1">
      <alignment vertical="center" wrapText="1"/>
      <protection hidden="1"/>
    </xf>
    <xf numFmtId="0" fontId="64" fillId="47" borderId="152" xfId="0" applyFont="1" applyFill="1" applyBorder="1" applyAlignment="1" applyProtection="1">
      <alignment horizontal="left" vertical="center"/>
      <protection hidden="1"/>
    </xf>
    <xf numFmtId="0" fontId="64" fillId="47" borderId="62" xfId="0" applyFont="1" applyFill="1" applyBorder="1" applyAlignment="1" applyProtection="1">
      <alignment horizontal="left" vertical="center"/>
      <protection hidden="1"/>
    </xf>
    <xf numFmtId="0" fontId="219" fillId="0" borderId="0" xfId="0" applyFont="1" applyAlignment="1" applyProtection="1">
      <alignment vertical="center"/>
      <protection hidden="1"/>
    </xf>
    <xf numFmtId="2" fontId="62" fillId="45" borderId="4" xfId="37" applyNumberFormat="1" applyFont="1" applyFill="1" applyBorder="1" applyAlignment="1" applyProtection="1">
      <alignment horizontal="center" vertical="center" wrapText="1"/>
      <protection hidden="1"/>
    </xf>
    <xf numFmtId="0" fontId="8" fillId="54" borderId="1" xfId="0" applyFont="1" applyFill="1" applyBorder="1" applyAlignment="1" applyProtection="1">
      <alignment horizontal="right" vertical="center"/>
      <protection hidden="1"/>
    </xf>
    <xf numFmtId="0" fontId="0" fillId="0" borderId="1" xfId="68" applyNumberFormat="1" applyFont="1" applyFill="1" applyBorder="1" applyAlignment="1" applyProtection="1">
      <alignment horizontal="center" vertical="center"/>
      <protection hidden="1"/>
    </xf>
    <xf numFmtId="193" fontId="47" fillId="46" borderId="39" xfId="68" applyNumberFormat="1" applyFont="1" applyFill="1" applyBorder="1" applyAlignment="1" applyProtection="1">
      <alignment horizontal="center" vertical="center"/>
      <protection hidden="1"/>
    </xf>
    <xf numFmtId="193" fontId="47" fillId="46" borderId="44" xfId="68" applyNumberFormat="1" applyFont="1" applyFill="1" applyBorder="1" applyAlignment="1" applyProtection="1">
      <alignment horizontal="center" vertical="center"/>
      <protection hidden="1"/>
    </xf>
    <xf numFmtId="173" fontId="16" fillId="0" borderId="137" xfId="0" applyNumberFormat="1" applyFont="1" applyBorder="1" applyProtection="1">
      <protection hidden="1"/>
    </xf>
    <xf numFmtId="43" fontId="16" fillId="0" borderId="137" xfId="68" applyFont="1" applyBorder="1" applyAlignment="1" applyProtection="1">
      <alignment horizontal="right"/>
      <protection hidden="1"/>
    </xf>
    <xf numFmtId="2" fontId="16" fillId="0" borderId="137" xfId="0" applyNumberFormat="1" applyFont="1" applyBorder="1" applyAlignment="1" applyProtection="1">
      <alignment horizontal="right"/>
      <protection hidden="1"/>
    </xf>
    <xf numFmtId="0" fontId="8" fillId="45" borderId="1" xfId="0" applyFont="1" applyFill="1" applyBorder="1" applyAlignment="1" applyProtection="1">
      <alignment horizontal="right" vertical="center"/>
      <protection hidden="1"/>
    </xf>
    <xf numFmtId="2" fontId="0" fillId="0" borderId="1" xfId="0" applyNumberFormat="1" applyBorder="1" applyAlignment="1" applyProtection="1">
      <alignment horizontal="center" vertical="center"/>
      <protection hidden="1"/>
    </xf>
    <xf numFmtId="43" fontId="63" fillId="0" borderId="137" xfId="68" applyFont="1" applyFill="1" applyBorder="1" applyAlignment="1" applyProtection="1">
      <alignment horizontal="right"/>
      <protection hidden="1"/>
    </xf>
    <xf numFmtId="173" fontId="16" fillId="0" borderId="74" xfId="0" applyNumberFormat="1" applyFont="1" applyBorder="1" applyProtection="1">
      <protection hidden="1"/>
    </xf>
    <xf numFmtId="0" fontId="0" fillId="0" borderId="1" xfId="68" applyNumberFormat="1" applyFont="1" applyBorder="1" applyAlignment="1" applyProtection="1">
      <alignment horizontal="center" vertical="center"/>
      <protection hidden="1"/>
    </xf>
    <xf numFmtId="0" fontId="0" fillId="0" borderId="85" xfId="0" applyBorder="1" applyProtection="1">
      <protection hidden="1"/>
    </xf>
    <xf numFmtId="0" fontId="67" fillId="3" borderId="41" xfId="0" applyFont="1" applyFill="1" applyBorder="1" applyAlignment="1" applyProtection="1">
      <alignment horizontal="center"/>
      <protection hidden="1"/>
    </xf>
    <xf numFmtId="0" fontId="67" fillId="3" borderId="73" xfId="0" applyFont="1" applyFill="1" applyBorder="1" applyAlignment="1" applyProtection="1">
      <alignment horizontal="center"/>
      <protection hidden="1"/>
    </xf>
    <xf numFmtId="0" fontId="67" fillId="3" borderId="72" xfId="0" applyFont="1" applyFill="1" applyBorder="1" applyAlignment="1" applyProtection="1">
      <alignment horizontal="center"/>
      <protection hidden="1"/>
    </xf>
    <xf numFmtId="0" fontId="66" fillId="0" borderId="0" xfId="0" applyFont="1" applyProtection="1">
      <protection hidden="1"/>
    </xf>
    <xf numFmtId="0" fontId="7" fillId="44" borderId="173" xfId="0" applyFont="1" applyFill="1" applyBorder="1" applyProtection="1">
      <protection hidden="1"/>
    </xf>
    <xf numFmtId="0" fontId="7" fillId="44" borderId="0" xfId="0" applyFont="1" applyFill="1" applyProtection="1">
      <protection hidden="1"/>
    </xf>
    <xf numFmtId="0" fontId="7" fillId="44" borderId="0" xfId="0" applyFont="1" applyFill="1" applyAlignment="1" applyProtection="1">
      <alignment wrapText="1"/>
      <protection hidden="1"/>
    </xf>
    <xf numFmtId="0" fontId="7" fillId="44" borderId="174" xfId="0" applyFont="1" applyFill="1" applyBorder="1" applyProtection="1">
      <protection hidden="1"/>
    </xf>
    <xf numFmtId="0" fontId="7" fillId="44" borderId="175" xfId="0" applyFont="1" applyFill="1" applyBorder="1" applyProtection="1">
      <protection hidden="1"/>
    </xf>
    <xf numFmtId="0" fontId="0" fillId="88" borderId="74" xfId="0" applyFill="1" applyBorder="1" applyAlignment="1" applyProtection="1">
      <alignment vertical="center"/>
      <protection hidden="1"/>
    </xf>
    <xf numFmtId="0" fontId="68" fillId="88" borderId="1" xfId="62" applyFont="1" applyFill="1" applyBorder="1" applyAlignment="1" applyProtection="1">
      <alignment vertical="center" wrapText="1"/>
      <protection hidden="1"/>
    </xf>
    <xf numFmtId="0" fontId="0" fillId="88" borderId="1" xfId="0" applyFill="1" applyBorder="1" applyAlignment="1" applyProtection="1">
      <alignment vertical="center"/>
      <protection hidden="1"/>
    </xf>
    <xf numFmtId="166" fontId="0" fillId="88" borderId="75" xfId="0" applyNumberFormat="1" applyFill="1" applyBorder="1" applyAlignment="1" applyProtection="1">
      <alignment vertical="center"/>
      <protection hidden="1"/>
    </xf>
    <xf numFmtId="0" fontId="0" fillId="88" borderId="75" xfId="0" applyFill="1" applyBorder="1" applyAlignment="1" applyProtection="1">
      <alignment vertical="center"/>
      <protection hidden="1"/>
    </xf>
    <xf numFmtId="43" fontId="63" fillId="0" borderId="137" xfId="68" applyFont="1" applyBorder="1" applyAlignment="1" applyProtection="1">
      <alignment horizontal="right"/>
      <protection hidden="1"/>
    </xf>
    <xf numFmtId="0" fontId="0" fillId="87" borderId="74" xfId="0" applyFill="1" applyBorder="1" applyAlignment="1" applyProtection="1">
      <alignment vertical="center"/>
      <protection hidden="1"/>
    </xf>
    <xf numFmtId="0" fontId="68" fillId="87" borderId="1" xfId="62" applyFont="1" applyFill="1" applyBorder="1" applyAlignment="1" applyProtection="1">
      <alignment vertical="center" wrapText="1"/>
      <protection hidden="1"/>
    </xf>
    <xf numFmtId="0" fontId="0" fillId="87" borderId="1" xfId="0" applyFill="1" applyBorder="1" applyAlignment="1" applyProtection="1">
      <alignment vertical="center"/>
      <protection hidden="1"/>
    </xf>
    <xf numFmtId="166" fontId="0" fillId="87" borderId="75" xfId="0" applyNumberFormat="1" applyFill="1" applyBorder="1" applyAlignment="1" applyProtection="1">
      <alignment vertical="center"/>
      <protection hidden="1"/>
    </xf>
    <xf numFmtId="0" fontId="0" fillId="87" borderId="75" xfId="0" applyFill="1" applyBorder="1" applyAlignment="1" applyProtection="1">
      <alignment vertical="center"/>
      <protection hidden="1"/>
    </xf>
    <xf numFmtId="43" fontId="66" fillId="0" borderId="0" xfId="0" applyNumberFormat="1" applyFont="1" applyProtection="1">
      <protection hidden="1"/>
    </xf>
    <xf numFmtId="0" fontId="16" fillId="0" borderId="137" xfId="0" applyFont="1" applyBorder="1" applyAlignment="1" applyProtection="1">
      <alignment horizontal="right"/>
      <protection hidden="1"/>
    </xf>
    <xf numFmtId="173" fontId="62" fillId="44" borderId="35" xfId="0" applyNumberFormat="1" applyFont="1" applyFill="1" applyBorder="1" applyProtection="1">
      <protection hidden="1"/>
    </xf>
    <xf numFmtId="0" fontId="68" fillId="87" borderId="1" xfId="0" applyFont="1" applyFill="1" applyBorder="1" applyAlignment="1" applyProtection="1">
      <alignment vertical="center" wrapText="1"/>
      <protection hidden="1"/>
    </xf>
    <xf numFmtId="0" fontId="0" fillId="46" borderId="36" xfId="0" applyFill="1" applyBorder="1" applyProtection="1">
      <protection hidden="1"/>
    </xf>
    <xf numFmtId="0" fontId="0" fillId="69" borderId="74" xfId="0" applyFill="1" applyBorder="1" applyAlignment="1" applyProtection="1">
      <alignment vertical="center"/>
      <protection hidden="1"/>
    </xf>
    <xf numFmtId="0" fontId="68" fillId="69" borderId="1" xfId="62" applyFont="1" applyFill="1" applyBorder="1" applyAlignment="1" applyProtection="1">
      <alignment vertical="center" wrapText="1"/>
      <protection hidden="1"/>
    </xf>
    <xf numFmtId="0" fontId="0" fillId="69" borderId="1" xfId="0" applyFill="1" applyBorder="1" applyAlignment="1" applyProtection="1">
      <alignment vertical="center"/>
      <protection hidden="1"/>
    </xf>
    <xf numFmtId="172" fontId="0" fillId="69" borderId="75" xfId="0" applyNumberFormat="1" applyFill="1" applyBorder="1" applyAlignment="1" applyProtection="1">
      <alignment vertical="center"/>
      <protection hidden="1"/>
    </xf>
    <xf numFmtId="0" fontId="0" fillId="69" borderId="75" xfId="0" applyFill="1" applyBorder="1" applyAlignment="1" applyProtection="1">
      <alignment vertical="center"/>
      <protection hidden="1"/>
    </xf>
    <xf numFmtId="0" fontId="96" fillId="0" borderId="0" xfId="0" applyFont="1" applyProtection="1">
      <protection hidden="1"/>
    </xf>
    <xf numFmtId="0" fontId="0" fillId="0" borderId="37" xfId="0" applyBorder="1" applyProtection="1">
      <protection hidden="1"/>
    </xf>
    <xf numFmtId="0" fontId="96" fillId="0" borderId="0" xfId="0" applyFont="1" applyAlignment="1" applyProtection="1">
      <alignment wrapText="1"/>
      <protection hidden="1"/>
    </xf>
    <xf numFmtId="0" fontId="0" fillId="46" borderId="37" xfId="0" applyFill="1" applyBorder="1" applyProtection="1">
      <protection hidden="1"/>
    </xf>
    <xf numFmtId="0" fontId="0" fillId="0" borderId="74" xfId="0" applyBorder="1" applyAlignment="1" applyProtection="1">
      <alignment vertical="center"/>
      <protection hidden="1"/>
    </xf>
    <xf numFmtId="0" fontId="0" fillId="0" borderId="1" xfId="0" applyBorder="1" applyAlignment="1" applyProtection="1">
      <alignment vertical="center"/>
      <protection hidden="1"/>
    </xf>
    <xf numFmtId="166" fontId="0" fillId="0" borderId="75" xfId="0" applyNumberFormat="1" applyBorder="1" applyAlignment="1" applyProtection="1">
      <alignment vertical="center"/>
      <protection hidden="1"/>
    </xf>
    <xf numFmtId="0" fontId="0" fillId="0" borderId="75" xfId="0" applyBorder="1" applyAlignment="1" applyProtection="1">
      <alignment vertical="center"/>
      <protection hidden="1"/>
    </xf>
    <xf numFmtId="0" fontId="68" fillId="0" borderId="38" xfId="0" applyFont="1" applyBorder="1" applyAlignment="1" applyProtection="1">
      <alignment horizontal="left" wrapText="1"/>
      <protection hidden="1"/>
    </xf>
    <xf numFmtId="0" fontId="68" fillId="48" borderId="38" xfId="0" applyFont="1" applyFill="1" applyBorder="1" applyAlignment="1" applyProtection="1">
      <alignment horizontal="left" wrapText="1"/>
      <protection hidden="1"/>
    </xf>
    <xf numFmtId="0" fontId="0" fillId="86" borderId="74" xfId="0" applyFill="1" applyBorder="1" applyAlignment="1" applyProtection="1">
      <alignment vertical="center"/>
      <protection hidden="1"/>
    </xf>
    <xf numFmtId="0" fontId="0" fillId="86" borderId="1" xfId="0" applyFill="1" applyBorder="1" applyAlignment="1" applyProtection="1">
      <alignment vertical="center"/>
      <protection hidden="1"/>
    </xf>
    <xf numFmtId="0" fontId="0" fillId="86" borderId="75" xfId="0" applyFill="1" applyBorder="1" applyAlignment="1" applyProtection="1">
      <alignment vertical="center"/>
      <protection hidden="1"/>
    </xf>
    <xf numFmtId="172" fontId="68" fillId="4" borderId="38" xfId="0" applyNumberFormat="1" applyFont="1" applyFill="1" applyBorder="1" applyAlignment="1" applyProtection="1">
      <alignment horizontal="center" wrapText="1"/>
      <protection hidden="1"/>
    </xf>
    <xf numFmtId="0" fontId="68" fillId="86" borderId="1" xfId="0" applyFont="1" applyFill="1" applyBorder="1" applyAlignment="1" applyProtection="1">
      <alignment vertical="center" wrapText="1"/>
      <protection hidden="1"/>
    </xf>
    <xf numFmtId="0" fontId="0" fillId="86" borderId="0" xfId="0" applyFill="1" applyAlignment="1" applyProtection="1">
      <alignment vertical="center"/>
      <protection hidden="1"/>
    </xf>
    <xf numFmtId="0" fontId="11" fillId="86" borderId="176" xfId="0" applyFont="1" applyFill="1" applyBorder="1" applyAlignment="1" applyProtection="1">
      <alignment vertical="center"/>
      <protection hidden="1"/>
    </xf>
    <xf numFmtId="0" fontId="0" fillId="0" borderId="175" xfId="0" applyBorder="1" applyAlignment="1" applyProtection="1">
      <alignment vertical="center"/>
      <protection hidden="1"/>
    </xf>
    <xf numFmtId="0" fontId="68" fillId="0" borderId="0" xfId="62" applyFont="1" applyAlignment="1" applyProtection="1">
      <alignment vertical="center" wrapText="1"/>
      <protection hidden="1"/>
    </xf>
    <xf numFmtId="0" fontId="0" fillId="0" borderId="0" xfId="0" applyAlignment="1" applyProtection="1">
      <alignment vertical="center"/>
      <protection hidden="1"/>
    </xf>
    <xf numFmtId="0" fontId="0" fillId="0" borderId="35" xfId="0" applyBorder="1" applyAlignment="1" applyProtection="1">
      <alignment vertical="center"/>
      <protection hidden="1"/>
    </xf>
    <xf numFmtId="0" fontId="0" fillId="0" borderId="25" xfId="0" applyBorder="1" applyAlignment="1" applyProtection="1">
      <alignment vertical="center"/>
      <protection hidden="1"/>
    </xf>
    <xf numFmtId="0" fontId="76" fillId="0" borderId="0" xfId="0" applyFont="1" applyProtection="1">
      <protection hidden="1"/>
    </xf>
    <xf numFmtId="0" fontId="68" fillId="0" borderId="1" xfId="62" applyFont="1" applyBorder="1" applyAlignment="1" applyProtection="1">
      <alignment vertical="center" wrapText="1"/>
      <protection hidden="1"/>
    </xf>
    <xf numFmtId="181" fontId="68" fillId="4" borderId="38" xfId="0" applyNumberFormat="1" applyFont="1" applyFill="1" applyBorder="1" applyAlignment="1" applyProtection="1">
      <alignment horizontal="center" wrapText="1"/>
      <protection hidden="1"/>
    </xf>
    <xf numFmtId="0" fontId="0" fillId="0" borderId="76" xfId="0" applyBorder="1" applyAlignment="1" applyProtection="1">
      <alignment vertical="center"/>
      <protection hidden="1"/>
    </xf>
    <xf numFmtId="0" fontId="68" fillId="0" borderId="14" xfId="62" applyFont="1" applyBorder="1" applyAlignment="1" applyProtection="1">
      <alignment vertical="center" wrapText="1"/>
      <protection hidden="1"/>
    </xf>
    <xf numFmtId="0" fontId="0" fillId="0" borderId="14" xfId="0" applyBorder="1" applyAlignment="1" applyProtection="1">
      <alignment vertical="center"/>
      <protection hidden="1"/>
    </xf>
    <xf numFmtId="166" fontId="0" fillId="0" borderId="15" xfId="0" applyNumberFormat="1" applyBorder="1" applyAlignment="1" applyProtection="1">
      <alignment vertical="center"/>
      <protection hidden="1"/>
    </xf>
    <xf numFmtId="0" fontId="0" fillId="0" borderId="15" xfId="0" applyBorder="1" applyAlignment="1" applyProtection="1">
      <alignment vertical="center"/>
      <protection hidden="1"/>
    </xf>
    <xf numFmtId="0" fontId="0" fillId="46" borderId="1" xfId="0" applyFill="1" applyBorder="1" applyAlignment="1" applyProtection="1">
      <alignment vertical="center" wrapText="1"/>
      <protection hidden="1"/>
    </xf>
    <xf numFmtId="193" fontId="0" fillId="46" borderId="1" xfId="68" applyNumberFormat="1" applyFont="1" applyFill="1" applyBorder="1" applyAlignment="1" applyProtection="1">
      <alignment horizontal="center" vertical="center"/>
      <protection hidden="1"/>
    </xf>
    <xf numFmtId="0" fontId="196" fillId="0" borderId="0" xfId="0" applyFont="1" applyAlignment="1" applyProtection="1">
      <alignment wrapText="1"/>
      <protection hidden="1"/>
    </xf>
    <xf numFmtId="0" fontId="0" fillId="0" borderId="31" xfId="0" applyBorder="1" applyProtection="1">
      <protection hidden="1"/>
    </xf>
    <xf numFmtId="0" fontId="0" fillId="0" borderId="32" xfId="0" applyBorder="1" applyProtection="1">
      <protection hidden="1"/>
    </xf>
    <xf numFmtId="0" fontId="0" fillId="0" borderId="33" xfId="0" applyBorder="1" applyProtection="1">
      <protection hidden="1"/>
    </xf>
    <xf numFmtId="43" fontId="0" fillId="0" borderId="32" xfId="68" applyFont="1" applyFill="1" applyBorder="1" applyProtection="1">
      <protection hidden="1"/>
    </xf>
    <xf numFmtId="0" fontId="41" fillId="0" borderId="0" xfId="0" applyFont="1" applyAlignment="1" applyProtection="1">
      <alignment wrapText="1"/>
      <protection hidden="1"/>
    </xf>
    <xf numFmtId="0" fontId="0" fillId="0" borderId="1" xfId="0" applyBorder="1" applyAlignment="1" applyProtection="1">
      <alignment horizontal="center" vertical="center"/>
      <protection hidden="1"/>
    </xf>
    <xf numFmtId="172" fontId="0" fillId="0" borderId="0" xfId="0" applyNumberFormat="1" applyProtection="1">
      <protection hidden="1"/>
    </xf>
    <xf numFmtId="0" fontId="15" fillId="0" borderId="0" xfId="0" applyFont="1" applyProtection="1">
      <protection hidden="1"/>
    </xf>
    <xf numFmtId="10" fontId="8" fillId="0" borderId="0" xfId="1" applyNumberFormat="1" applyFont="1" applyProtection="1">
      <protection hidden="1"/>
    </xf>
    <xf numFmtId="0" fontId="8" fillId="0" borderId="1" xfId="0" applyFont="1" applyBorder="1" applyAlignment="1" applyProtection="1">
      <alignment wrapText="1"/>
      <protection hidden="1"/>
    </xf>
    <xf numFmtId="196" fontId="0" fillId="0" borderId="0" xfId="0" applyNumberFormat="1" applyProtection="1">
      <protection hidden="1"/>
    </xf>
    <xf numFmtId="0" fontId="221" fillId="41" borderId="0" xfId="70" applyFont="1" applyFill="1" applyAlignment="1" applyProtection="1">
      <alignment vertical="center"/>
      <protection hidden="1"/>
    </xf>
    <xf numFmtId="0" fontId="6" fillId="0" borderId="0" xfId="70" applyProtection="1">
      <protection hidden="1"/>
    </xf>
    <xf numFmtId="0" fontId="67" fillId="3" borderId="16" xfId="70" applyFont="1" applyFill="1" applyBorder="1" applyAlignment="1" applyProtection="1">
      <alignment horizontal="center"/>
      <protection hidden="1"/>
    </xf>
    <xf numFmtId="0" fontId="67" fillId="3" borderId="17" xfId="70" applyFont="1" applyFill="1" applyBorder="1" applyAlignment="1" applyProtection="1">
      <alignment horizontal="center"/>
      <protection hidden="1"/>
    </xf>
    <xf numFmtId="0" fontId="67" fillId="3" borderId="1" xfId="70" applyFont="1" applyFill="1" applyBorder="1" applyAlignment="1" applyProtection="1">
      <alignment horizontal="center"/>
      <protection hidden="1"/>
    </xf>
    <xf numFmtId="172" fontId="68" fillId="0" borderId="38" xfId="0" applyNumberFormat="1" applyFont="1" applyBorder="1" applyAlignment="1" applyProtection="1">
      <alignment horizontal="center"/>
      <protection hidden="1"/>
    </xf>
    <xf numFmtId="0" fontId="0" fillId="0" borderId="0" xfId="70" applyFont="1" applyProtection="1">
      <protection hidden="1"/>
    </xf>
    <xf numFmtId="0" fontId="0" fillId="0" borderId="1" xfId="0" applyBorder="1" applyAlignment="1" applyProtection="1">
      <alignment wrapText="1"/>
      <protection hidden="1"/>
    </xf>
    <xf numFmtId="172" fontId="68" fillId="0" borderId="38" xfId="0" applyNumberFormat="1" applyFont="1" applyBorder="1" applyAlignment="1" applyProtection="1">
      <alignment horizontal="center" vertical="center"/>
      <protection hidden="1"/>
    </xf>
    <xf numFmtId="0" fontId="6" fillId="0" borderId="0" xfId="0" applyFont="1" applyProtection="1">
      <protection hidden="1"/>
    </xf>
    <xf numFmtId="0" fontId="0" fillId="0" borderId="45" xfId="0" applyBorder="1" applyProtection="1">
      <protection hidden="1"/>
    </xf>
    <xf numFmtId="0" fontId="0" fillId="0" borderId="46" xfId="0" applyBorder="1" applyProtection="1">
      <protection hidden="1"/>
    </xf>
    <xf numFmtId="0" fontId="0" fillId="0" borderId="47" xfId="0" applyBorder="1" applyProtection="1">
      <protection hidden="1"/>
    </xf>
    <xf numFmtId="0" fontId="13" fillId="0" borderId="0" xfId="2" applyProtection="1">
      <protection hidden="1"/>
    </xf>
    <xf numFmtId="0" fontId="8" fillId="0" borderId="3" xfId="0" applyFont="1" applyBorder="1" applyAlignment="1" applyProtection="1">
      <alignment vertical="center"/>
      <protection hidden="1"/>
    </xf>
    <xf numFmtId="0" fontId="8" fillId="0" borderId="3" xfId="0" applyFont="1" applyBorder="1" applyAlignment="1" applyProtection="1">
      <alignment horizontal="center" vertical="center" wrapText="1"/>
      <protection hidden="1"/>
    </xf>
    <xf numFmtId="0" fontId="8" fillId="0" borderId="3" xfId="0" applyFont="1" applyBorder="1" applyProtection="1">
      <protection hidden="1"/>
    </xf>
    <xf numFmtId="0" fontId="12" fillId="0" borderId="0" xfId="0" applyFont="1" applyAlignment="1" applyProtection="1">
      <alignment horizontal="left" vertical="center" wrapText="1"/>
      <protection hidden="1"/>
    </xf>
    <xf numFmtId="0" fontId="12" fillId="0" borderId="0" xfId="0" applyFont="1" applyAlignment="1" applyProtection="1">
      <alignment vertical="center"/>
      <protection hidden="1"/>
    </xf>
    <xf numFmtId="0" fontId="12" fillId="0" borderId="0" xfId="0" applyFont="1" applyAlignment="1" applyProtection="1">
      <alignment horizontal="left" vertical="center"/>
      <protection hidden="1"/>
    </xf>
    <xf numFmtId="0" fontId="125" fillId="0" borderId="1" xfId="54" applyFont="1" applyBorder="1" applyAlignment="1" applyProtection="1">
      <alignment horizontal="left" vertical="center"/>
      <protection hidden="1"/>
    </xf>
    <xf numFmtId="164" fontId="125" fillId="0" borderId="1" xfId="54" applyNumberFormat="1" applyFont="1" applyBorder="1" applyAlignment="1" applyProtection="1">
      <alignment horizontal="center" vertical="center"/>
      <protection hidden="1"/>
    </xf>
    <xf numFmtId="0" fontId="65" fillId="0" borderId="1" xfId="54" applyFont="1" applyBorder="1" applyAlignment="1" applyProtection="1">
      <alignment horizontal="left" vertical="center" wrapText="1"/>
      <protection hidden="1"/>
    </xf>
    <xf numFmtId="0" fontId="123" fillId="0" borderId="0" xfId="2" applyFont="1" applyAlignment="1" applyProtection="1">
      <protection hidden="1"/>
    </xf>
    <xf numFmtId="0" fontId="124" fillId="0" borderId="0" xfId="3" applyFont="1" applyProtection="1">
      <protection hidden="1"/>
    </xf>
    <xf numFmtId="0" fontId="8" fillId="0" borderId="0" xfId="0" applyFont="1" applyProtection="1">
      <protection hidden="1"/>
    </xf>
    <xf numFmtId="0" fontId="8" fillId="0" borderId="1" xfId="0" applyFont="1" applyBorder="1" applyProtection="1">
      <protection hidden="1"/>
    </xf>
    <xf numFmtId="0" fontId="8" fillId="49" borderId="1" xfId="0" applyFont="1" applyFill="1" applyBorder="1" applyAlignment="1" applyProtection="1">
      <alignment horizontal="center" vertical="center" wrapText="1"/>
      <protection hidden="1"/>
    </xf>
    <xf numFmtId="0" fontId="8" fillId="0" borderId="78" xfId="0" applyFont="1" applyBorder="1" applyAlignment="1" applyProtection="1">
      <alignment vertical="center"/>
      <protection hidden="1"/>
    </xf>
    <xf numFmtId="0" fontId="8" fillId="0" borderId="78" xfId="0" applyFont="1" applyBorder="1" applyAlignment="1" applyProtection="1">
      <alignment vertical="center" wrapText="1"/>
      <protection hidden="1"/>
    </xf>
    <xf numFmtId="0" fontId="8" fillId="0" borderId="78" xfId="3" applyFont="1" applyBorder="1" applyAlignment="1" applyProtection="1">
      <alignment vertical="center" wrapText="1"/>
      <protection hidden="1"/>
    </xf>
    <xf numFmtId="0" fontId="8" fillId="49" borderId="78" xfId="0" applyFont="1" applyFill="1" applyBorder="1" applyAlignment="1" applyProtection="1">
      <alignment horizontal="center" vertical="center" wrapText="1"/>
      <protection hidden="1"/>
    </xf>
    <xf numFmtId="0" fontId="125" fillId="0" borderId="0" xfId="54" applyFont="1" applyAlignment="1" applyProtection="1">
      <alignment vertical="top"/>
      <protection hidden="1"/>
    </xf>
    <xf numFmtId="0" fontId="125" fillId="0" borderId="0" xfId="54" applyFont="1" applyAlignment="1" applyProtection="1">
      <alignment horizontal="center" vertical="top"/>
      <protection hidden="1"/>
    </xf>
    <xf numFmtId="0" fontId="65" fillId="0" borderId="0" xfId="0" applyFont="1" applyAlignment="1" applyProtection="1">
      <alignment wrapText="1"/>
      <protection hidden="1"/>
    </xf>
    <xf numFmtId="0" fontId="125" fillId="0" borderId="1" xfId="54" applyFont="1" applyBorder="1" applyAlignment="1" applyProtection="1">
      <alignment vertical="top"/>
      <protection hidden="1"/>
    </xf>
    <xf numFmtId="0" fontId="125" fillId="0" borderId="1" xfId="54" applyFont="1" applyBorder="1" applyAlignment="1" applyProtection="1">
      <alignment horizontal="left" vertical="top"/>
      <protection hidden="1"/>
    </xf>
    <xf numFmtId="10" fontId="126" fillId="0" borderId="1" xfId="54" applyNumberFormat="1" applyFont="1" applyBorder="1" applyAlignment="1" applyProtection="1">
      <alignment horizontal="center" vertical="center"/>
      <protection hidden="1"/>
    </xf>
    <xf numFmtId="2" fontId="11" fillId="53" borderId="1" xfId="69" applyNumberFormat="1" applyFont="1" applyFill="1" applyBorder="1" applyAlignment="1" applyProtection="1">
      <alignment horizontal="center" vertical="center"/>
      <protection hidden="1"/>
    </xf>
    <xf numFmtId="0" fontId="0" fillId="0" borderId="78" xfId="0" applyBorder="1" applyProtection="1">
      <protection hidden="1"/>
    </xf>
    <xf numFmtId="2" fontId="11" fillId="53" borderId="78" xfId="69" applyNumberFormat="1" applyFont="1" applyFill="1" applyBorder="1" applyAlignment="1" applyProtection="1">
      <alignment horizontal="center" vertical="center"/>
      <protection hidden="1"/>
    </xf>
    <xf numFmtId="0" fontId="9" fillId="0" borderId="0" xfId="0" applyFont="1" applyAlignment="1" applyProtection="1">
      <alignment horizontal="left" wrapText="1"/>
      <protection hidden="1"/>
    </xf>
    <xf numFmtId="0" fontId="76" fillId="0" borderId="78" xfId="0" applyFont="1" applyBorder="1" applyProtection="1">
      <protection hidden="1"/>
    </xf>
    <xf numFmtId="168" fontId="76" fillId="0" borderId="78" xfId="0" applyNumberFormat="1" applyFont="1" applyBorder="1" applyProtection="1">
      <protection hidden="1"/>
    </xf>
    <xf numFmtId="0" fontId="9" fillId="0" borderId="0" xfId="0" applyFont="1" applyAlignment="1" applyProtection="1">
      <alignment wrapText="1"/>
      <protection hidden="1"/>
    </xf>
    <xf numFmtId="0" fontId="128" fillId="0" borderId="0" xfId="3" applyFont="1" applyProtection="1">
      <protection hidden="1"/>
    </xf>
    <xf numFmtId="0" fontId="127" fillId="0" borderId="0" xfId="0" applyFont="1" applyAlignment="1" applyProtection="1">
      <alignment vertical="top" wrapText="1"/>
      <protection hidden="1"/>
    </xf>
    <xf numFmtId="0" fontId="0" fillId="0" borderId="141" xfId="0" applyBorder="1" applyProtection="1">
      <protection hidden="1"/>
    </xf>
    <xf numFmtId="0" fontId="125" fillId="0" borderId="137" xfId="54" applyFont="1" applyBorder="1" applyAlignment="1" applyProtection="1">
      <alignment vertical="top"/>
      <protection hidden="1"/>
    </xf>
    <xf numFmtId="168" fontId="0" fillId="0" borderId="140" xfId="0" applyNumberFormat="1" applyBorder="1" applyProtection="1">
      <protection hidden="1"/>
    </xf>
    <xf numFmtId="168" fontId="0" fillId="0" borderId="78" xfId="0" applyNumberFormat="1" applyBorder="1" applyProtection="1">
      <protection hidden="1"/>
    </xf>
    <xf numFmtId="0" fontId="198" fillId="0" borderId="16" xfId="54" applyFont="1" applyBorder="1" applyAlignment="1" applyProtection="1">
      <alignment horizontal="center" vertical="center" wrapText="1"/>
      <protection hidden="1"/>
    </xf>
    <xf numFmtId="0" fontId="257" fillId="0" borderId="137" xfId="0" applyFont="1" applyBorder="1" applyAlignment="1" applyProtection="1">
      <alignment horizontal="left" wrapText="1"/>
      <protection hidden="1"/>
    </xf>
    <xf numFmtId="0" fontId="5" fillId="0" borderId="0" xfId="0" applyFont="1" applyProtection="1">
      <protection hidden="1"/>
    </xf>
    <xf numFmtId="0" fontId="197" fillId="0" borderId="0" xfId="0" applyFont="1" applyAlignment="1" applyProtection="1">
      <alignment vertical="center"/>
      <protection hidden="1"/>
    </xf>
    <xf numFmtId="0" fontId="244" fillId="10" borderId="110" xfId="0" applyFont="1" applyFill="1" applyBorder="1" applyAlignment="1" applyProtection="1">
      <alignment horizontal="center" vertical="center" wrapText="1"/>
      <protection hidden="1"/>
    </xf>
    <xf numFmtId="0" fontId="244" fillId="82" borderId="110" xfId="0" applyFont="1" applyFill="1" applyBorder="1" applyAlignment="1" applyProtection="1">
      <alignment horizontal="center" vertical="center" wrapText="1"/>
      <protection hidden="1"/>
    </xf>
    <xf numFmtId="0" fontId="243" fillId="0" borderId="0" xfId="0" applyFont="1" applyAlignment="1" applyProtection="1">
      <alignment horizontal="center" wrapText="1"/>
      <protection hidden="1"/>
    </xf>
    <xf numFmtId="0" fontId="4" fillId="0" borderId="0" xfId="0" applyFont="1" applyProtection="1">
      <protection hidden="1"/>
    </xf>
    <xf numFmtId="0" fontId="244" fillId="10" borderId="110" xfId="0" applyFont="1" applyFill="1" applyBorder="1" applyAlignment="1" applyProtection="1">
      <alignment wrapText="1"/>
      <protection hidden="1"/>
    </xf>
    <xf numFmtId="0" fontId="244" fillId="82" borderId="110" xfId="0" applyFont="1" applyFill="1" applyBorder="1" applyAlignment="1" applyProtection="1">
      <alignment wrapText="1"/>
      <protection hidden="1"/>
    </xf>
    <xf numFmtId="0" fontId="131" fillId="0" borderId="0" xfId="0" applyFont="1" applyAlignment="1" applyProtection="1">
      <alignment horizontal="center"/>
      <protection hidden="1"/>
    </xf>
    <xf numFmtId="0" fontId="197" fillId="83" borderId="62" xfId="0" applyFont="1" applyFill="1" applyBorder="1" applyAlignment="1" applyProtection="1">
      <alignment horizontal="center"/>
      <protection hidden="1"/>
    </xf>
    <xf numFmtId="0" fontId="197" fillId="83" borderId="0" xfId="0" applyFont="1" applyFill="1" applyProtection="1">
      <protection hidden="1"/>
    </xf>
    <xf numFmtId="0" fontId="245" fillId="0" borderId="0" xfId="0" applyFont="1" applyProtection="1">
      <protection hidden="1"/>
    </xf>
    <xf numFmtId="167" fontId="245" fillId="0" borderId="0" xfId="0" applyNumberFormat="1" applyFont="1" applyProtection="1">
      <protection hidden="1"/>
    </xf>
    <xf numFmtId="168" fontId="131" fillId="0" borderId="0" xfId="0" quotePrefix="1" applyNumberFormat="1" applyFont="1" applyAlignment="1" applyProtection="1">
      <alignment horizontal="center"/>
      <protection hidden="1"/>
    </xf>
    <xf numFmtId="165" fontId="131" fillId="0" borderId="0" xfId="0" quotePrefix="1" applyNumberFormat="1" applyFont="1" applyAlignment="1" applyProtection="1">
      <alignment horizontal="center"/>
      <protection hidden="1"/>
    </xf>
    <xf numFmtId="0" fontId="2" fillId="0" borderId="0" xfId="0" applyFont="1" applyProtection="1">
      <protection hidden="1"/>
    </xf>
    <xf numFmtId="0" fontId="199" fillId="0" borderId="0" xfId="2" applyFont="1" applyProtection="1">
      <protection hidden="1"/>
    </xf>
    <xf numFmtId="0" fontId="226" fillId="0" borderId="0" xfId="2" applyFont="1" applyProtection="1">
      <protection hidden="1"/>
    </xf>
    <xf numFmtId="0" fontId="97" fillId="0" borderId="0" xfId="39" applyFont="1" applyAlignment="1" applyProtection="1">
      <protection hidden="1"/>
    </xf>
    <xf numFmtId="0" fontId="223" fillId="0" borderId="0" xfId="2" applyFont="1" applyProtection="1">
      <protection hidden="1"/>
    </xf>
    <xf numFmtId="3" fontId="33" fillId="0" borderId="83" xfId="0" applyNumberFormat="1" applyFont="1" applyBorder="1" applyProtection="1">
      <protection hidden="1"/>
    </xf>
    <xf numFmtId="0" fontId="13" fillId="0" borderId="0" xfId="2" applyBorder="1" applyProtection="1">
      <protection hidden="1"/>
    </xf>
    <xf numFmtId="3" fontId="46" fillId="0" borderId="0" xfId="0" applyNumberFormat="1" applyFont="1" applyProtection="1">
      <protection hidden="1"/>
    </xf>
    <xf numFmtId="3" fontId="46" fillId="0" borderId="83" xfId="0" applyNumberFormat="1" applyFont="1" applyBorder="1" applyProtection="1">
      <protection hidden="1"/>
    </xf>
    <xf numFmtId="3" fontId="33" fillId="0" borderId="0" xfId="0" applyNumberFormat="1" applyFont="1" applyAlignment="1" applyProtection="1">
      <alignment horizontal="left"/>
      <protection hidden="1"/>
    </xf>
    <xf numFmtId="3" fontId="46" fillId="0" borderId="0" xfId="0" applyNumberFormat="1" applyFont="1" applyAlignment="1" applyProtection="1">
      <alignment horizontal="left" wrapText="1"/>
      <protection hidden="1"/>
    </xf>
    <xf numFmtId="3" fontId="46" fillId="0" borderId="1" xfId="0" applyNumberFormat="1" applyFont="1" applyBorder="1" applyAlignment="1" applyProtection="1">
      <alignment horizontal="center" vertical="center" wrapText="1"/>
      <protection hidden="1"/>
    </xf>
    <xf numFmtId="3" fontId="46" fillId="0" borderId="0" xfId="0" applyNumberFormat="1" applyFont="1" applyAlignment="1" applyProtection="1">
      <alignment horizontal="left"/>
      <protection hidden="1"/>
    </xf>
    <xf numFmtId="0" fontId="222" fillId="0" borderId="0" xfId="0" applyFont="1" applyProtection="1">
      <protection hidden="1"/>
    </xf>
    <xf numFmtId="0" fontId="68" fillId="48" borderId="153" xfId="0" applyFont="1" applyFill="1" applyBorder="1" applyProtection="1">
      <protection hidden="1"/>
    </xf>
    <xf numFmtId="0" fontId="68" fillId="48" borderId="153" xfId="0" applyFont="1" applyFill="1" applyBorder="1" applyAlignment="1" applyProtection="1">
      <alignment wrapText="1"/>
      <protection hidden="1"/>
    </xf>
    <xf numFmtId="0" fontId="68" fillId="48" borderId="153" xfId="0" applyFont="1" applyFill="1" applyBorder="1" applyAlignment="1" applyProtection="1">
      <alignment horizontal="left" wrapText="1"/>
      <protection hidden="1"/>
    </xf>
    <xf numFmtId="0" fontId="46" fillId="45" borderId="1" xfId="38" applyFont="1" applyFill="1" applyBorder="1" applyProtection="1">
      <alignment wrapText="1"/>
      <protection hidden="1"/>
    </xf>
    <xf numFmtId="179" fontId="47" fillId="0" borderId="1" xfId="38" applyNumberFormat="1" applyFont="1" applyBorder="1" applyAlignment="1" applyProtection="1">
      <alignment horizontal="center" wrapText="1"/>
      <protection hidden="1"/>
    </xf>
    <xf numFmtId="180" fontId="68" fillId="0" borderId="153" xfId="0" applyNumberFormat="1" applyFont="1" applyBorder="1" applyAlignment="1" applyProtection="1">
      <alignment horizontal="center"/>
      <protection hidden="1"/>
    </xf>
    <xf numFmtId="0" fontId="46" fillId="45" borderId="1" xfId="38" applyFont="1" applyFill="1" applyBorder="1" applyAlignment="1" applyProtection="1">
      <alignment horizontal="left" wrapText="1" indent="1"/>
      <protection hidden="1"/>
    </xf>
    <xf numFmtId="181" fontId="68" fillId="54" borderId="153" xfId="0" applyNumberFormat="1" applyFont="1" applyFill="1" applyBorder="1" applyAlignment="1" applyProtection="1">
      <alignment horizontal="center"/>
      <protection hidden="1"/>
    </xf>
    <xf numFmtId="181" fontId="68" fillId="0" borderId="153" xfId="0" applyNumberFormat="1" applyFont="1" applyBorder="1" applyAlignment="1" applyProtection="1">
      <alignment horizontal="center"/>
      <protection hidden="1"/>
    </xf>
    <xf numFmtId="0" fontId="46" fillId="45" borderId="1" xfId="38" applyFont="1" applyFill="1" applyBorder="1" applyAlignment="1" applyProtection="1">
      <alignment horizontal="left" wrapText="1" indent="2"/>
      <protection hidden="1"/>
    </xf>
    <xf numFmtId="3" fontId="46" fillId="0" borderId="84" xfId="0" applyNumberFormat="1" applyFont="1" applyBorder="1" applyProtection="1">
      <protection hidden="1"/>
    </xf>
    <xf numFmtId="0" fontId="0" fillId="0" borderId="155" xfId="0" applyBorder="1" applyProtection="1">
      <protection hidden="1"/>
    </xf>
    <xf numFmtId="180" fontId="68" fillId="0" borderId="0" xfId="0" applyNumberFormat="1" applyFont="1" applyAlignment="1" applyProtection="1">
      <alignment horizontal="center"/>
      <protection hidden="1"/>
    </xf>
    <xf numFmtId="181" fontId="68" fillId="0" borderId="0" xfId="0" applyNumberFormat="1" applyFont="1" applyAlignment="1" applyProtection="1">
      <alignment horizontal="center"/>
      <protection hidden="1"/>
    </xf>
    <xf numFmtId="181" fontId="68" fillId="0" borderId="158" xfId="0" applyNumberFormat="1" applyFont="1" applyBorder="1" applyAlignment="1" applyProtection="1">
      <alignment horizontal="center"/>
      <protection hidden="1"/>
    </xf>
    <xf numFmtId="3" fontId="46" fillId="0" borderId="4" xfId="0" applyNumberFormat="1" applyFont="1" applyBorder="1" applyAlignment="1" applyProtection="1">
      <alignment horizontal="center" vertical="center" wrapText="1"/>
      <protection hidden="1"/>
    </xf>
    <xf numFmtId="0" fontId="47" fillId="0" borderId="1" xfId="0" applyFont="1" applyBorder="1" applyAlignment="1" applyProtection="1">
      <alignment horizontal="center"/>
      <protection hidden="1"/>
    </xf>
    <xf numFmtId="164" fontId="47" fillId="0" borderId="1" xfId="0" applyNumberFormat="1" applyFont="1" applyBorder="1" applyAlignment="1" applyProtection="1">
      <alignment horizontal="center"/>
      <protection hidden="1"/>
    </xf>
    <xf numFmtId="0" fontId="224" fillId="0" borderId="0" xfId="0" applyFont="1" applyProtection="1">
      <protection hidden="1"/>
    </xf>
    <xf numFmtId="180" fontId="68" fillId="54" borderId="153" xfId="0" applyNumberFormat="1" applyFont="1" applyFill="1" applyBorder="1" applyAlignment="1" applyProtection="1">
      <alignment horizontal="center"/>
      <protection hidden="1"/>
    </xf>
    <xf numFmtId="0" fontId="47" fillId="0" borderId="0" xfId="0" applyFont="1" applyAlignment="1" applyProtection="1">
      <alignment horizontal="left"/>
      <protection hidden="1"/>
    </xf>
    <xf numFmtId="180" fontId="68" fillId="43" borderId="153" xfId="0" applyNumberFormat="1" applyFont="1" applyFill="1" applyBorder="1" applyAlignment="1" applyProtection="1">
      <alignment horizontal="center"/>
      <protection hidden="1"/>
    </xf>
    <xf numFmtId="172" fontId="68" fillId="4" borderId="153" xfId="0" applyNumberFormat="1" applyFont="1" applyFill="1" applyBorder="1" applyAlignment="1" applyProtection="1">
      <alignment horizontal="center" vertical="center" wrapText="1"/>
      <protection hidden="1"/>
    </xf>
    <xf numFmtId="172" fontId="68" fillId="54" borderId="153" xfId="0" applyNumberFormat="1" applyFont="1" applyFill="1" applyBorder="1" applyAlignment="1" applyProtection="1">
      <alignment horizontal="center" vertical="center" wrapText="1"/>
      <protection hidden="1"/>
    </xf>
    <xf numFmtId="181" fontId="68" fillId="43" borderId="153" xfId="0" applyNumberFormat="1" applyFont="1" applyFill="1" applyBorder="1" applyAlignment="1" applyProtection="1">
      <alignment horizontal="center"/>
      <protection hidden="1"/>
    </xf>
    <xf numFmtId="0" fontId="225" fillId="0" borderId="0" xfId="0" applyFont="1" applyProtection="1">
      <protection hidden="1"/>
    </xf>
    <xf numFmtId="0" fontId="47" fillId="0" borderId="1" xfId="0" applyFont="1" applyBorder="1" applyAlignment="1" applyProtection="1">
      <alignment wrapText="1"/>
      <protection hidden="1"/>
    </xf>
    <xf numFmtId="0" fontId="59" fillId="0" borderId="0" xfId="0" applyFont="1" applyProtection="1">
      <protection hidden="1"/>
    </xf>
    <xf numFmtId="0" fontId="47" fillId="0" borderId="1" xfId="0" applyFont="1" applyBorder="1" applyProtection="1">
      <protection hidden="1"/>
    </xf>
    <xf numFmtId="0" fontId="46" fillId="0" borderId="1" xfId="0" applyFont="1" applyBorder="1" applyAlignment="1" applyProtection="1">
      <alignment wrapText="1"/>
      <protection hidden="1"/>
    </xf>
    <xf numFmtId="169" fontId="101" fillId="0" borderId="1" xfId="68" applyNumberFormat="1" applyFont="1" applyFill="1" applyBorder="1" applyProtection="1">
      <protection hidden="1"/>
    </xf>
    <xf numFmtId="0" fontId="47" fillId="0" borderId="0" xfId="0" applyFont="1" applyAlignment="1" applyProtection="1">
      <alignment horizontal="right"/>
      <protection hidden="1"/>
    </xf>
    <xf numFmtId="0" fontId="125" fillId="0" borderId="0" xfId="62" applyFont="1" applyProtection="1">
      <protection hidden="1"/>
    </xf>
    <xf numFmtId="0" fontId="203" fillId="0" borderId="0" xfId="71" applyProtection="1">
      <protection hidden="1"/>
    </xf>
    <xf numFmtId="0" fontId="200" fillId="49" borderId="62" xfId="0" applyFont="1" applyFill="1" applyBorder="1" applyProtection="1">
      <protection hidden="1"/>
    </xf>
    <xf numFmtId="0" fontId="201" fillId="0" borderId="62" xfId="70" applyFont="1" applyBorder="1" applyAlignment="1" applyProtection="1">
      <alignment wrapText="1"/>
      <protection hidden="1"/>
    </xf>
    <xf numFmtId="0" fontId="43" fillId="0" borderId="0" xfId="59" applyProtection="1">
      <protection hidden="1"/>
    </xf>
    <xf numFmtId="0" fontId="8" fillId="45" borderId="0" xfId="0" applyFont="1" applyFill="1" applyAlignment="1" applyProtection="1">
      <alignment wrapText="1"/>
      <protection hidden="1"/>
    </xf>
    <xf numFmtId="0" fontId="202" fillId="83" borderId="4" xfId="0" applyFont="1" applyFill="1" applyBorder="1" applyAlignment="1" applyProtection="1">
      <alignment horizontal="center" vertical="top" wrapText="1"/>
      <protection hidden="1"/>
    </xf>
    <xf numFmtId="0" fontId="206" fillId="45" borderId="0" xfId="62" applyFont="1" applyFill="1" applyProtection="1">
      <protection hidden="1"/>
    </xf>
    <xf numFmtId="0" fontId="207" fillId="0" borderId="1" xfId="59" applyFont="1" applyBorder="1" applyAlignment="1" applyProtection="1">
      <alignment horizontal="center" vertical="center" wrapText="1"/>
      <protection hidden="1"/>
    </xf>
    <xf numFmtId="0" fontId="204" fillId="84" borderId="142" xfId="71" applyFont="1" applyFill="1" applyBorder="1" applyAlignment="1" applyProtection="1">
      <alignment horizontal="left" wrapText="1"/>
      <protection hidden="1"/>
    </xf>
    <xf numFmtId="0" fontId="205" fillId="0" borderId="1" xfId="71" applyFont="1" applyBorder="1" applyAlignment="1" applyProtection="1">
      <alignment horizontal="center" vertical="center"/>
      <protection hidden="1"/>
    </xf>
    <xf numFmtId="166" fontId="0" fillId="0" borderId="1" xfId="0" applyNumberFormat="1" applyBorder="1" applyAlignment="1" applyProtection="1">
      <alignment horizontal="center" vertical="center"/>
      <protection hidden="1"/>
    </xf>
    <xf numFmtId="0" fontId="49" fillId="0" borderId="0" xfId="62" applyProtection="1">
      <protection hidden="1"/>
    </xf>
    <xf numFmtId="10" fontId="49" fillId="0" borderId="1" xfId="62" applyNumberFormat="1" applyBorder="1" applyAlignment="1" applyProtection="1">
      <alignment horizontal="center"/>
      <protection hidden="1"/>
    </xf>
    <xf numFmtId="0" fontId="204" fillId="84" borderId="142" xfId="71" applyFont="1" applyFill="1" applyBorder="1" applyAlignment="1" applyProtection="1">
      <alignment horizontal="left"/>
      <protection hidden="1"/>
    </xf>
    <xf numFmtId="3" fontId="43" fillId="0" borderId="1" xfId="59" applyNumberFormat="1" applyBorder="1" applyAlignment="1" applyProtection="1">
      <alignment horizontal="center"/>
      <protection hidden="1"/>
    </xf>
    <xf numFmtId="3" fontId="238" fillId="0" borderId="1" xfId="71" applyNumberFormat="1" applyFont="1" applyBorder="1" applyAlignment="1" applyProtection="1">
      <alignment horizontal="center" vertical="center"/>
      <protection hidden="1"/>
    </xf>
    <xf numFmtId="0" fontId="29" fillId="50" borderId="1" xfId="0" applyFont="1" applyFill="1" applyBorder="1" applyProtection="1">
      <protection hidden="1"/>
    </xf>
    <xf numFmtId="0" fontId="240" fillId="84" borderId="142" xfId="71" applyFont="1" applyFill="1" applyBorder="1" applyAlignment="1" applyProtection="1">
      <alignment horizontal="left"/>
      <protection hidden="1"/>
    </xf>
    <xf numFmtId="3" fontId="241" fillId="0" borderId="1" xfId="59" applyNumberFormat="1" applyFont="1" applyBorder="1" applyAlignment="1" applyProtection="1">
      <alignment horizontal="center"/>
      <protection hidden="1"/>
    </xf>
    <xf numFmtId="3" fontId="239" fillId="0" borderId="1" xfId="71" applyNumberFormat="1" applyFont="1" applyBorder="1" applyAlignment="1" applyProtection="1">
      <alignment horizontal="center" vertical="center"/>
      <protection hidden="1"/>
    </xf>
    <xf numFmtId="10" fontId="49" fillId="0" borderId="0" xfId="62" applyNumberFormat="1" applyAlignment="1" applyProtection="1">
      <alignment horizontal="center"/>
      <protection hidden="1"/>
    </xf>
    <xf numFmtId="0" fontId="0" fillId="0" borderId="4" xfId="0" applyBorder="1" applyAlignment="1" applyProtection="1">
      <alignment wrapText="1"/>
      <protection hidden="1"/>
    </xf>
    <xf numFmtId="0" fontId="0" fillId="0" borderId="3" xfId="0" applyBorder="1" applyProtection="1">
      <protection hidden="1"/>
    </xf>
    <xf numFmtId="0" fontId="0" fillId="0" borderId="29" xfId="0" applyBorder="1" applyProtection="1">
      <protection hidden="1"/>
    </xf>
    <xf numFmtId="0" fontId="0" fillId="69" borderId="0" xfId="0" applyFill="1" applyProtection="1">
      <protection hidden="1"/>
    </xf>
    <xf numFmtId="166" fontId="0" fillId="69" borderId="1" xfId="0" applyNumberFormat="1" applyFill="1" applyBorder="1" applyAlignment="1" applyProtection="1">
      <alignment horizontal="center" vertical="center"/>
      <protection hidden="1"/>
    </xf>
    <xf numFmtId="10" fontId="208" fillId="0" borderId="0" xfId="59" applyNumberFormat="1" applyFont="1" applyProtection="1">
      <protection hidden="1"/>
    </xf>
    <xf numFmtId="0" fontId="0" fillId="0" borderId="28" xfId="0" applyBorder="1" applyProtection="1">
      <protection hidden="1"/>
    </xf>
    <xf numFmtId="0" fontId="0" fillId="76" borderId="0" xfId="0" applyFill="1" applyProtection="1">
      <protection hidden="1"/>
    </xf>
    <xf numFmtId="166" fontId="0" fillId="76" borderId="1" xfId="0" applyNumberFormat="1" applyFill="1" applyBorder="1" applyAlignment="1" applyProtection="1">
      <alignment horizontal="center" vertical="center"/>
      <protection hidden="1"/>
    </xf>
    <xf numFmtId="0" fontId="0" fillId="46" borderId="28" xfId="0" applyFill="1" applyBorder="1" applyProtection="1">
      <protection hidden="1"/>
    </xf>
    <xf numFmtId="0" fontId="0" fillId="46" borderId="32" xfId="0" applyFill="1" applyBorder="1" applyProtection="1">
      <protection hidden="1"/>
    </xf>
    <xf numFmtId="0" fontId="8" fillId="45" borderId="1" xfId="0" applyFont="1" applyFill="1" applyBorder="1" applyAlignment="1" applyProtection="1">
      <alignment horizontal="center"/>
      <protection hidden="1"/>
    </xf>
    <xf numFmtId="0" fontId="8" fillId="45" borderId="1" xfId="0" applyFont="1" applyFill="1" applyBorder="1" applyProtection="1">
      <protection hidden="1"/>
    </xf>
    <xf numFmtId="164" fontId="0" fillId="0" borderId="1" xfId="0" applyNumberFormat="1" applyBorder="1" applyAlignment="1" applyProtection="1">
      <alignment horizontal="center"/>
      <protection hidden="1"/>
    </xf>
    <xf numFmtId="172" fontId="0" fillId="0" borderId="0" xfId="0" quotePrefix="1" applyNumberFormat="1" applyAlignment="1" applyProtection="1">
      <alignment horizontal="center"/>
      <protection hidden="1"/>
    </xf>
    <xf numFmtId="0" fontId="0" fillId="0" borderId="0" xfId="0" quotePrefix="1" applyProtection="1">
      <protection hidden="1"/>
    </xf>
    <xf numFmtId="0" fontId="8" fillId="0" borderId="1" xfId="0" applyFont="1" applyBorder="1" applyAlignment="1" applyProtection="1">
      <alignment horizontal="right"/>
      <protection hidden="1"/>
    </xf>
    <xf numFmtId="0" fontId="10" fillId="0" borderId="0" xfId="0" applyFont="1" applyProtection="1">
      <protection hidden="1"/>
    </xf>
    <xf numFmtId="164" fontId="10" fillId="0" borderId="0" xfId="0" applyNumberFormat="1" applyFont="1" applyAlignment="1" applyProtection="1">
      <alignment horizontal="center"/>
      <protection hidden="1"/>
    </xf>
    <xf numFmtId="164" fontId="76" fillId="0" borderId="0" xfId="0" applyNumberFormat="1" applyFont="1" applyAlignment="1" applyProtection="1">
      <alignment horizontal="center"/>
      <protection hidden="1"/>
    </xf>
    <xf numFmtId="0" fontId="202" fillId="83" borderId="1" xfId="0" applyFont="1" applyFill="1" applyBorder="1" applyAlignment="1" applyProtection="1">
      <alignment horizontal="center" vertical="top" wrapText="1"/>
      <protection hidden="1"/>
    </xf>
    <xf numFmtId="0" fontId="209" fillId="64" borderId="3" xfId="0" applyFont="1" applyFill="1" applyBorder="1" applyProtection="1">
      <protection hidden="1"/>
    </xf>
    <xf numFmtId="0" fontId="210" fillId="4" borderId="28" xfId="0" applyFont="1" applyFill="1" applyBorder="1" applyProtection="1">
      <protection hidden="1"/>
    </xf>
    <xf numFmtId="0" fontId="132" fillId="4" borderId="0" xfId="0" applyFont="1" applyFill="1" applyProtection="1">
      <protection hidden="1"/>
    </xf>
    <xf numFmtId="0" fontId="211" fillId="0" borderId="0" xfId="63" applyFont="1" applyAlignment="1" applyProtection="1">
      <protection hidden="1"/>
    </xf>
    <xf numFmtId="0" fontId="212" fillId="4" borderId="0" xfId="0" applyFont="1" applyFill="1" applyProtection="1">
      <protection hidden="1"/>
    </xf>
    <xf numFmtId="0" fontId="133" fillId="45" borderId="79" xfId="0" applyFont="1" applyFill="1" applyBorder="1" applyAlignment="1" applyProtection="1">
      <alignment horizontal="left" vertical="center" wrapText="1"/>
      <protection hidden="1"/>
    </xf>
    <xf numFmtId="0" fontId="213" fillId="4" borderId="90" xfId="0" applyFont="1" applyFill="1" applyBorder="1" applyAlignment="1" applyProtection="1">
      <alignment horizontal="left" vertical="center" wrapText="1"/>
      <protection hidden="1"/>
    </xf>
    <xf numFmtId="0" fontId="214" fillId="45" borderId="79" xfId="0" applyFont="1" applyFill="1" applyBorder="1" applyAlignment="1" applyProtection="1">
      <alignment horizontal="left" vertical="center" wrapText="1"/>
      <protection hidden="1"/>
    </xf>
    <xf numFmtId="14" fontId="213" fillId="4" borderId="80" xfId="0" applyNumberFormat="1" applyFont="1" applyFill="1" applyBorder="1" applyAlignment="1" applyProtection="1">
      <alignment horizontal="left" vertical="center"/>
      <protection hidden="1"/>
    </xf>
    <xf numFmtId="0" fontId="214" fillId="45" borderId="79" xfId="0" applyFont="1" applyFill="1" applyBorder="1" applyAlignment="1" applyProtection="1">
      <alignment horizontal="left" vertical="center"/>
      <protection hidden="1"/>
    </xf>
    <xf numFmtId="0" fontId="133" fillId="45" borderId="81" xfId="0" applyFont="1" applyFill="1" applyBorder="1" applyAlignment="1" applyProtection="1">
      <alignment horizontal="left" vertical="center" wrapText="1"/>
      <protection hidden="1"/>
    </xf>
    <xf numFmtId="0" fontId="132" fillId="4" borderId="93" xfId="0" applyFont="1" applyFill="1" applyBorder="1" applyAlignment="1" applyProtection="1">
      <alignment horizontal="left" vertical="center" wrapText="1"/>
      <protection hidden="1"/>
    </xf>
    <xf numFmtId="0" fontId="133" fillId="45" borderId="93" xfId="0" applyFont="1" applyFill="1" applyBorder="1" applyAlignment="1" applyProtection="1">
      <alignment horizontal="left" vertical="center"/>
      <protection hidden="1"/>
    </xf>
    <xf numFmtId="168" fontId="213" fillId="4" borderId="82" xfId="0" applyNumberFormat="1" applyFont="1" applyFill="1" applyBorder="1" applyAlignment="1" applyProtection="1">
      <alignment horizontal="left" vertical="center"/>
      <protection hidden="1"/>
    </xf>
    <xf numFmtId="0" fontId="214" fillId="45" borderId="81" xfId="0" applyFont="1" applyFill="1" applyBorder="1" applyAlignment="1" applyProtection="1">
      <alignment horizontal="left" vertical="center"/>
      <protection hidden="1"/>
    </xf>
    <xf numFmtId="1" fontId="213" fillId="4" borderId="82" xfId="0" applyNumberFormat="1" applyFont="1" applyFill="1" applyBorder="1" applyAlignment="1" applyProtection="1">
      <alignment horizontal="left"/>
      <protection hidden="1"/>
    </xf>
    <xf numFmtId="0" fontId="132" fillId="48" borderId="89" xfId="0" applyFont="1" applyFill="1" applyBorder="1" applyAlignment="1" applyProtection="1">
      <alignment horizontal="center"/>
      <protection hidden="1"/>
    </xf>
    <xf numFmtId="0" fontId="132" fillId="48" borderId="89" xfId="0" applyFont="1" applyFill="1" applyBorder="1" applyProtection="1">
      <protection hidden="1"/>
    </xf>
    <xf numFmtId="0" fontId="132" fillId="4" borderId="147" xfId="0" applyFont="1" applyFill="1" applyBorder="1" applyProtection="1">
      <protection hidden="1"/>
    </xf>
    <xf numFmtId="188" fontId="132" fillId="4" borderId="147" xfId="68" applyNumberFormat="1" applyFont="1" applyFill="1" applyBorder="1" applyProtection="1">
      <protection hidden="1"/>
    </xf>
    <xf numFmtId="0" fontId="132" fillId="4" borderId="149" xfId="0" applyFont="1" applyFill="1" applyBorder="1" applyProtection="1">
      <protection hidden="1"/>
    </xf>
    <xf numFmtId="188" fontId="132" fillId="4" borderId="149" xfId="68" applyNumberFormat="1" applyFont="1" applyFill="1" applyBorder="1" applyProtection="1">
      <protection hidden="1"/>
    </xf>
    <xf numFmtId="0" fontId="132" fillId="4" borderId="151" xfId="0" applyFont="1" applyFill="1" applyBorder="1" applyProtection="1">
      <protection hidden="1"/>
    </xf>
    <xf numFmtId="188" fontId="132" fillId="4" borderId="151" xfId="68" applyNumberFormat="1" applyFont="1" applyFill="1" applyBorder="1" applyProtection="1">
      <protection hidden="1"/>
    </xf>
    <xf numFmtId="0" fontId="132" fillId="4" borderId="0" xfId="0" applyFont="1" applyFill="1" applyAlignment="1" applyProtection="1">
      <alignment horizontal="center" textRotation="90" wrapText="1"/>
      <protection hidden="1"/>
    </xf>
    <xf numFmtId="0" fontId="134" fillId="4" borderId="2" xfId="0" applyFont="1" applyFill="1" applyBorder="1" applyProtection="1">
      <protection hidden="1"/>
    </xf>
    <xf numFmtId="166" fontId="132" fillId="55" borderId="79" xfId="0" applyNumberFormat="1" applyFont="1" applyFill="1" applyBorder="1" applyAlignment="1" applyProtection="1">
      <alignment vertical="center"/>
      <protection hidden="1"/>
    </xf>
    <xf numFmtId="4" fontId="132" fillId="4" borderId="90" xfId="0" applyNumberFormat="1" applyFont="1" applyFill="1" applyBorder="1" applyAlignment="1" applyProtection="1">
      <alignment horizontal="center"/>
      <protection hidden="1"/>
    </xf>
    <xf numFmtId="184" fontId="132" fillId="4" borderId="90" xfId="0" applyNumberFormat="1" applyFont="1" applyFill="1" applyBorder="1" applyAlignment="1" applyProtection="1">
      <alignment horizontal="center"/>
      <protection hidden="1"/>
    </xf>
    <xf numFmtId="3" fontId="132" fillId="4" borderId="80" xfId="0" applyNumberFormat="1" applyFont="1" applyFill="1" applyBorder="1" applyAlignment="1" applyProtection="1">
      <alignment horizontal="center"/>
      <protection hidden="1"/>
    </xf>
    <xf numFmtId="178" fontId="132" fillId="4" borderId="91" xfId="0" applyNumberFormat="1" applyFont="1" applyFill="1" applyBorder="1" applyAlignment="1" applyProtection="1">
      <alignment horizontal="center"/>
      <protection hidden="1"/>
    </xf>
    <xf numFmtId="166" fontId="132" fillId="55" borderId="38" xfId="0" applyNumberFormat="1" applyFont="1" applyFill="1" applyBorder="1" applyAlignment="1" applyProtection="1">
      <alignment vertical="center"/>
      <protection hidden="1"/>
    </xf>
    <xf numFmtId="184" fontId="132" fillId="4" borderId="38" xfId="0" applyNumberFormat="1" applyFont="1" applyFill="1" applyBorder="1" applyAlignment="1" applyProtection="1">
      <alignment horizontal="center"/>
      <protection hidden="1"/>
    </xf>
    <xf numFmtId="4" fontId="132" fillId="4" borderId="92" xfId="0" applyNumberFormat="1" applyFont="1" applyFill="1" applyBorder="1" applyAlignment="1" applyProtection="1">
      <alignment horizontal="center"/>
      <protection hidden="1"/>
    </xf>
    <xf numFmtId="184" fontId="132" fillId="4" borderId="91" xfId="0" applyNumberFormat="1" applyFont="1" applyFill="1" applyBorder="1" applyAlignment="1" applyProtection="1">
      <alignment horizontal="center"/>
      <protection hidden="1"/>
    </xf>
    <xf numFmtId="167" fontId="132" fillId="43" borderId="38" xfId="0" applyNumberFormat="1" applyFont="1" applyFill="1" applyBorder="1" applyAlignment="1" applyProtection="1">
      <alignment horizontal="center"/>
      <protection hidden="1"/>
    </xf>
    <xf numFmtId="3" fontId="132" fillId="4" borderId="92" xfId="0" applyNumberFormat="1" applyFont="1" applyFill="1" applyBorder="1" applyAlignment="1" applyProtection="1">
      <alignment horizontal="center"/>
      <protection hidden="1"/>
    </xf>
    <xf numFmtId="167" fontId="132" fillId="4" borderId="91" xfId="0" applyNumberFormat="1" applyFont="1" applyFill="1" applyBorder="1" applyAlignment="1" applyProtection="1">
      <alignment horizontal="center"/>
      <protection hidden="1"/>
    </xf>
    <xf numFmtId="3" fontId="132" fillId="4" borderId="38" xfId="0" applyNumberFormat="1" applyFont="1" applyFill="1" applyBorder="1" applyAlignment="1" applyProtection="1">
      <alignment horizontal="center"/>
      <protection hidden="1"/>
    </xf>
    <xf numFmtId="4" fontId="132" fillId="4" borderId="38" xfId="0" applyNumberFormat="1" applyFont="1" applyFill="1" applyBorder="1" applyAlignment="1" applyProtection="1">
      <alignment horizontal="center"/>
      <protection hidden="1"/>
    </xf>
    <xf numFmtId="185" fontId="132" fillId="4" borderId="81" xfId="0" applyNumberFormat="1" applyFont="1" applyFill="1" applyBorder="1" applyAlignment="1" applyProtection="1">
      <alignment horizontal="center"/>
      <protection hidden="1"/>
    </xf>
    <xf numFmtId="186" fontId="132" fillId="4" borderId="93" xfId="0" applyNumberFormat="1" applyFont="1" applyFill="1" applyBorder="1" applyAlignment="1" applyProtection="1">
      <alignment horizontal="center"/>
      <protection hidden="1"/>
    </xf>
    <xf numFmtId="185" fontId="132" fillId="4" borderId="93" xfId="0" applyNumberFormat="1" applyFont="1" applyFill="1" applyBorder="1" applyAlignment="1" applyProtection="1">
      <alignment horizontal="center"/>
      <protection hidden="1"/>
    </xf>
    <xf numFmtId="166" fontId="132" fillId="55" borderId="82" xfId="0" applyNumberFormat="1" applyFont="1" applyFill="1" applyBorder="1" applyAlignment="1" applyProtection="1">
      <alignment vertical="center"/>
      <protection hidden="1"/>
    </xf>
    <xf numFmtId="164" fontId="132" fillId="4" borderId="90" xfId="0" applyNumberFormat="1" applyFont="1" applyFill="1" applyBorder="1" applyAlignment="1" applyProtection="1">
      <alignment horizontal="center"/>
      <protection hidden="1"/>
    </xf>
    <xf numFmtId="172" fontId="132" fillId="4" borderId="90" xfId="0" applyNumberFormat="1" applyFont="1" applyFill="1" applyBorder="1" applyAlignment="1" applyProtection="1">
      <alignment horizontal="center"/>
      <protection hidden="1"/>
    </xf>
    <xf numFmtId="183" fontId="132" fillId="4" borderId="80" xfId="0" applyNumberFormat="1" applyFont="1" applyFill="1" applyBorder="1" applyAlignment="1" applyProtection="1">
      <alignment horizontal="center"/>
      <protection hidden="1"/>
    </xf>
    <xf numFmtId="1" fontId="132" fillId="4" borderId="91" xfId="0" applyNumberFormat="1" applyFont="1" applyFill="1" applyBorder="1" applyAlignment="1" applyProtection="1">
      <alignment horizontal="center"/>
      <protection hidden="1"/>
    </xf>
    <xf numFmtId="164" fontId="132" fillId="4" borderId="38" xfId="0" applyNumberFormat="1" applyFont="1" applyFill="1" applyBorder="1" applyAlignment="1" applyProtection="1">
      <alignment horizontal="center"/>
      <protection hidden="1"/>
    </xf>
    <xf numFmtId="2" fontId="132" fillId="4" borderId="38" xfId="0" applyNumberFormat="1" applyFont="1" applyFill="1" applyBorder="1" applyAlignment="1" applyProtection="1">
      <alignment horizontal="center"/>
      <protection hidden="1"/>
    </xf>
    <xf numFmtId="166" fontId="132" fillId="4" borderId="92" xfId="0" applyNumberFormat="1" applyFont="1" applyFill="1" applyBorder="1" applyAlignment="1" applyProtection="1">
      <alignment horizontal="center"/>
      <protection hidden="1"/>
    </xf>
    <xf numFmtId="164" fontId="132" fillId="4" borderId="91" xfId="0" applyNumberFormat="1" applyFont="1" applyFill="1" applyBorder="1" applyAlignment="1" applyProtection="1">
      <alignment horizontal="center"/>
      <protection hidden="1"/>
    </xf>
    <xf numFmtId="172" fontId="132" fillId="4" borderId="38" xfId="0" applyNumberFormat="1" applyFont="1" applyFill="1" applyBorder="1" applyAlignment="1" applyProtection="1">
      <alignment horizontal="center"/>
      <protection hidden="1"/>
    </xf>
    <xf numFmtId="166" fontId="132" fillId="4" borderId="38" xfId="0" applyNumberFormat="1" applyFont="1" applyFill="1" applyBorder="1" applyAlignment="1" applyProtection="1">
      <alignment horizontal="center"/>
      <protection hidden="1"/>
    </xf>
    <xf numFmtId="172" fontId="132" fillId="4" borderId="92" xfId="0" applyNumberFormat="1" applyFont="1" applyFill="1" applyBorder="1" applyAlignment="1" applyProtection="1">
      <alignment horizontal="center"/>
      <protection hidden="1"/>
    </xf>
    <xf numFmtId="166" fontId="132" fillId="4" borderId="91" xfId="0" applyNumberFormat="1" applyFont="1" applyFill="1" applyBorder="1" applyAlignment="1" applyProtection="1">
      <alignment horizontal="center"/>
      <protection hidden="1"/>
    </xf>
    <xf numFmtId="165" fontId="132" fillId="4" borderId="92" xfId="0" applyNumberFormat="1" applyFont="1" applyFill="1" applyBorder="1" applyAlignment="1" applyProtection="1">
      <alignment horizontal="center"/>
      <protection hidden="1"/>
    </xf>
    <xf numFmtId="166" fontId="132" fillId="43" borderId="91" xfId="0" applyNumberFormat="1" applyFont="1" applyFill="1" applyBorder="1" applyAlignment="1" applyProtection="1">
      <alignment horizontal="center"/>
      <protection hidden="1"/>
    </xf>
    <xf numFmtId="183" fontId="132" fillId="4" borderId="38" xfId="0" applyNumberFormat="1" applyFont="1" applyFill="1" applyBorder="1" applyAlignment="1" applyProtection="1">
      <alignment horizontal="center"/>
      <protection hidden="1"/>
    </xf>
    <xf numFmtId="2" fontId="132" fillId="4" borderId="81" xfId="0" applyNumberFormat="1" applyFont="1" applyFill="1" applyBorder="1" applyAlignment="1" applyProtection="1">
      <alignment horizontal="center"/>
      <protection hidden="1"/>
    </xf>
    <xf numFmtId="172" fontId="132" fillId="4" borderId="93" xfId="0" applyNumberFormat="1" applyFont="1" applyFill="1" applyBorder="1" applyAlignment="1" applyProtection="1">
      <alignment horizontal="center"/>
      <protection hidden="1"/>
    </xf>
    <xf numFmtId="166" fontId="132" fillId="4" borderId="93" xfId="0" applyNumberFormat="1" applyFont="1" applyFill="1" applyBorder="1" applyAlignment="1" applyProtection="1">
      <alignment horizontal="center"/>
      <protection hidden="1"/>
    </xf>
    <xf numFmtId="164" fontId="132" fillId="4" borderId="93" xfId="0" applyNumberFormat="1" applyFont="1" applyFill="1" applyBorder="1" applyAlignment="1" applyProtection="1">
      <alignment horizontal="center"/>
      <protection hidden="1"/>
    </xf>
    <xf numFmtId="1" fontId="132" fillId="4" borderId="93" xfId="0" applyNumberFormat="1" applyFont="1" applyFill="1" applyBorder="1" applyAlignment="1" applyProtection="1">
      <alignment horizontal="center"/>
      <protection hidden="1"/>
    </xf>
    <xf numFmtId="0" fontId="133" fillId="4" borderId="2" xfId="0" applyFont="1" applyFill="1" applyBorder="1" applyAlignment="1" applyProtection="1">
      <alignment horizontal="center"/>
      <protection hidden="1"/>
    </xf>
    <xf numFmtId="172" fontId="132" fillId="4" borderId="80" xfId="0" applyNumberFormat="1" applyFont="1" applyFill="1" applyBorder="1" applyAlignment="1" applyProtection="1">
      <alignment horizontal="center"/>
      <protection hidden="1"/>
    </xf>
    <xf numFmtId="172" fontId="132" fillId="4" borderId="91" xfId="0" applyNumberFormat="1" applyFont="1" applyFill="1" applyBorder="1" applyAlignment="1" applyProtection="1">
      <alignment horizontal="center"/>
      <protection hidden="1"/>
    </xf>
    <xf numFmtId="1" fontId="132" fillId="4" borderId="92" xfId="0" applyNumberFormat="1" applyFont="1" applyFill="1" applyBorder="1" applyAlignment="1" applyProtection="1">
      <alignment horizontal="center"/>
      <protection hidden="1"/>
    </xf>
    <xf numFmtId="2" fontId="132" fillId="4" borderId="91" xfId="0" applyNumberFormat="1" applyFont="1" applyFill="1" applyBorder="1" applyAlignment="1" applyProtection="1">
      <alignment horizontal="center"/>
      <protection hidden="1"/>
    </xf>
    <xf numFmtId="172" fontId="132" fillId="4" borderId="81" xfId="0" applyNumberFormat="1" applyFont="1" applyFill="1" applyBorder="1" applyAlignment="1" applyProtection="1">
      <alignment horizontal="center"/>
      <protection hidden="1"/>
    </xf>
    <xf numFmtId="182" fontId="132" fillId="4" borderId="93" xfId="0" applyNumberFormat="1" applyFont="1" applyFill="1" applyBorder="1" applyAlignment="1" applyProtection="1">
      <alignment horizontal="center"/>
      <protection hidden="1"/>
    </xf>
    <xf numFmtId="166" fontId="132" fillId="4" borderId="90" xfId="0" applyNumberFormat="1" applyFont="1" applyFill="1" applyBorder="1" applyAlignment="1" applyProtection="1">
      <alignment horizontal="center"/>
      <protection hidden="1"/>
    </xf>
    <xf numFmtId="182" fontId="132" fillId="4" borderId="90" xfId="0" applyNumberFormat="1" applyFont="1" applyFill="1" applyBorder="1" applyAlignment="1" applyProtection="1">
      <alignment horizontal="center"/>
      <protection hidden="1"/>
    </xf>
    <xf numFmtId="0" fontId="132" fillId="4" borderId="90" xfId="0" applyFont="1" applyFill="1" applyBorder="1" applyAlignment="1" applyProtection="1">
      <alignment horizontal="center"/>
      <protection hidden="1"/>
    </xf>
    <xf numFmtId="182" fontId="132" fillId="4" borderId="80" xfId="0" applyNumberFormat="1" applyFont="1" applyFill="1" applyBorder="1" applyAlignment="1" applyProtection="1">
      <alignment horizontal="center"/>
      <protection hidden="1"/>
    </xf>
    <xf numFmtId="182" fontId="132" fillId="4" borderId="92" xfId="0" applyNumberFormat="1" applyFont="1" applyFill="1" applyBorder="1" applyAlignment="1" applyProtection="1">
      <alignment horizontal="center"/>
      <protection hidden="1"/>
    </xf>
    <xf numFmtId="1" fontId="132" fillId="4" borderId="38" xfId="0" applyNumberFormat="1" applyFont="1" applyFill="1" applyBorder="1" applyAlignment="1" applyProtection="1">
      <alignment horizontal="center"/>
      <protection hidden="1"/>
    </xf>
    <xf numFmtId="172" fontId="132" fillId="43" borderId="38" xfId="0" applyNumberFormat="1" applyFont="1" applyFill="1" applyBorder="1" applyAlignment="1" applyProtection="1">
      <alignment horizontal="center"/>
      <protection hidden="1"/>
    </xf>
    <xf numFmtId="168" fontId="132" fillId="4" borderId="38" xfId="0" applyNumberFormat="1" applyFont="1" applyFill="1" applyBorder="1" applyAlignment="1" applyProtection="1">
      <alignment horizontal="center"/>
      <protection hidden="1"/>
    </xf>
    <xf numFmtId="1" fontId="132" fillId="4" borderId="81" xfId="0" applyNumberFormat="1" applyFont="1" applyFill="1" applyBorder="1" applyAlignment="1" applyProtection="1">
      <alignment horizontal="center"/>
      <protection hidden="1"/>
    </xf>
    <xf numFmtId="168" fontId="132" fillId="4" borderId="93" xfId="0" applyNumberFormat="1" applyFont="1" applyFill="1" applyBorder="1" applyAlignment="1" applyProtection="1">
      <alignment horizontal="center"/>
      <protection hidden="1"/>
    </xf>
    <xf numFmtId="0" fontId="132" fillId="4" borderId="0" xfId="0" applyFont="1" applyFill="1" applyAlignment="1" applyProtection="1">
      <alignment horizontal="center"/>
      <protection hidden="1"/>
    </xf>
    <xf numFmtId="1" fontId="132" fillId="4" borderId="90" xfId="0" applyNumberFormat="1" applyFont="1" applyFill="1" applyBorder="1" applyAlignment="1" applyProtection="1">
      <alignment horizontal="center"/>
      <protection hidden="1"/>
    </xf>
    <xf numFmtId="0" fontId="209" fillId="64" borderId="3" xfId="62" applyFont="1" applyFill="1" applyBorder="1" applyProtection="1">
      <protection hidden="1"/>
    </xf>
    <xf numFmtId="0" fontId="210" fillId="4" borderId="28" xfId="62" applyFont="1" applyFill="1" applyBorder="1" applyProtection="1">
      <protection hidden="1"/>
    </xf>
    <xf numFmtId="0" fontId="132" fillId="4" borderId="0" xfId="62" applyFont="1" applyFill="1" applyProtection="1">
      <protection hidden="1"/>
    </xf>
    <xf numFmtId="0" fontId="132" fillId="4" borderId="0" xfId="62" applyFont="1" applyFill="1" applyAlignment="1" applyProtection="1">
      <alignment horizontal="left"/>
      <protection hidden="1"/>
    </xf>
    <xf numFmtId="0" fontId="199" fillId="0" borderId="0" xfId="63" applyFont="1" applyAlignment="1" applyProtection="1">
      <protection hidden="1"/>
    </xf>
    <xf numFmtId="0" fontId="212" fillId="4" borderId="0" xfId="62" applyFont="1" applyFill="1" applyProtection="1">
      <protection hidden="1"/>
    </xf>
    <xf numFmtId="0" fontId="212" fillId="4" borderId="0" xfId="62" applyFont="1" applyFill="1" applyAlignment="1" applyProtection="1">
      <alignment horizontal="left"/>
      <protection hidden="1"/>
    </xf>
    <xf numFmtId="0" fontId="133" fillId="45" borderId="79" xfId="62" applyFont="1" applyFill="1" applyBorder="1" applyAlignment="1" applyProtection="1">
      <alignment horizontal="left" vertical="center" wrapText="1"/>
      <protection hidden="1"/>
    </xf>
    <xf numFmtId="0" fontId="132" fillId="4" borderId="169" xfId="62" applyFont="1" applyFill="1" applyBorder="1" applyAlignment="1" applyProtection="1">
      <alignment horizontal="left" vertical="center" wrapText="1"/>
      <protection hidden="1"/>
    </xf>
    <xf numFmtId="0" fontId="133" fillId="45" borderId="79" xfId="62" applyFont="1" applyFill="1" applyBorder="1" applyAlignment="1" applyProtection="1">
      <alignment horizontal="left" vertical="center"/>
      <protection hidden="1"/>
    </xf>
    <xf numFmtId="14" fontId="132" fillId="0" borderId="80" xfId="62" applyNumberFormat="1" applyFont="1" applyBorder="1" applyAlignment="1" applyProtection="1">
      <alignment horizontal="left" vertical="center"/>
      <protection hidden="1"/>
    </xf>
    <xf numFmtId="14" fontId="132" fillId="4" borderId="80" xfId="62" applyNumberFormat="1" applyFont="1" applyFill="1" applyBorder="1" applyAlignment="1" applyProtection="1">
      <alignment horizontal="left" vertical="center"/>
      <protection hidden="1"/>
    </xf>
    <xf numFmtId="0" fontId="133" fillId="45" borderId="81" xfId="62" applyFont="1" applyFill="1" applyBorder="1" applyAlignment="1" applyProtection="1">
      <alignment horizontal="left" vertical="center" wrapText="1"/>
      <protection hidden="1"/>
    </xf>
    <xf numFmtId="0" fontId="132" fillId="4" borderId="170" xfId="62" applyFont="1" applyFill="1" applyBorder="1" applyAlignment="1" applyProtection="1">
      <alignment horizontal="left" vertical="center" wrapText="1"/>
      <protection hidden="1"/>
    </xf>
    <xf numFmtId="0" fontId="133" fillId="45" borderId="81" xfId="62" applyFont="1" applyFill="1" applyBorder="1" applyAlignment="1" applyProtection="1">
      <alignment horizontal="left" vertical="center"/>
      <protection hidden="1"/>
    </xf>
    <xf numFmtId="168" fontId="132" fillId="4" borderId="82" xfId="62" applyNumberFormat="1" applyFont="1" applyFill="1" applyBorder="1" applyAlignment="1" applyProtection="1">
      <alignment horizontal="left" vertical="center"/>
      <protection hidden="1"/>
    </xf>
    <xf numFmtId="1" fontId="132" fillId="4" borderId="82" xfId="62" applyNumberFormat="1" applyFont="1" applyFill="1" applyBorder="1" applyAlignment="1" applyProtection="1">
      <alignment horizontal="left"/>
      <protection hidden="1"/>
    </xf>
    <xf numFmtId="0" fontId="133" fillId="4" borderId="0" xfId="62" applyFont="1" applyFill="1" applyAlignment="1" applyProtection="1">
      <alignment horizontal="left" vertical="center" wrapText="1"/>
      <protection hidden="1"/>
    </xf>
    <xf numFmtId="0" fontId="132" fillId="4" borderId="0" xfId="62" applyFont="1" applyFill="1" applyAlignment="1" applyProtection="1">
      <alignment horizontal="left" vertical="center" wrapText="1"/>
      <protection hidden="1"/>
    </xf>
    <xf numFmtId="0" fontId="133" fillId="4" borderId="0" xfId="62" applyFont="1" applyFill="1" applyAlignment="1" applyProtection="1">
      <alignment horizontal="left" vertical="center"/>
      <protection hidden="1"/>
    </xf>
    <xf numFmtId="168" fontId="132" fillId="4" borderId="0" xfId="62" applyNumberFormat="1" applyFont="1" applyFill="1" applyAlignment="1" applyProtection="1">
      <alignment horizontal="left" vertical="center"/>
      <protection hidden="1"/>
    </xf>
    <xf numFmtId="1" fontId="132" fillId="4" borderId="0" xfId="62" applyNumberFormat="1" applyFont="1" applyFill="1" applyAlignment="1" applyProtection="1">
      <alignment horizontal="left"/>
      <protection hidden="1"/>
    </xf>
    <xf numFmtId="0" fontId="133" fillId="4" borderId="0" xfId="62" applyFont="1" applyFill="1" applyProtection="1">
      <protection hidden="1"/>
    </xf>
    <xf numFmtId="0" fontId="134" fillId="4" borderId="0" xfId="62" applyFont="1" applyFill="1" applyAlignment="1" applyProtection="1">
      <alignment vertical="top"/>
      <protection hidden="1"/>
    </xf>
    <xf numFmtId="0" fontId="134" fillId="4" borderId="0" xfId="62" applyFont="1" applyFill="1" applyAlignment="1" applyProtection="1">
      <alignment vertical="top" wrapText="1"/>
      <protection hidden="1"/>
    </xf>
    <xf numFmtId="0" fontId="133" fillId="45" borderId="147" xfId="62" applyFont="1" applyFill="1" applyBorder="1" applyAlignment="1" applyProtection="1">
      <alignment horizontal="left" vertical="center" wrapText="1"/>
      <protection hidden="1"/>
    </xf>
    <xf numFmtId="0" fontId="133" fillId="45" borderId="171" xfId="62" applyFont="1" applyFill="1" applyBorder="1" applyAlignment="1" applyProtection="1">
      <alignment horizontal="left" vertical="center" wrapText="1"/>
      <protection hidden="1"/>
    </xf>
    <xf numFmtId="0" fontId="133" fillId="45" borderId="151" xfId="62" applyFont="1" applyFill="1" applyBorder="1" applyAlignment="1" applyProtection="1">
      <alignment horizontal="left" vertical="center"/>
      <protection hidden="1"/>
    </xf>
    <xf numFmtId="0" fontId="133" fillId="45" borderId="151" xfId="62" applyFont="1" applyFill="1" applyBorder="1" applyAlignment="1" applyProtection="1">
      <alignment horizontal="left" vertical="center" wrapText="1"/>
      <protection hidden="1"/>
    </xf>
    <xf numFmtId="0" fontId="230" fillId="4" borderId="0" xfId="62" applyFont="1" applyFill="1" applyAlignment="1" applyProtection="1">
      <alignment horizontal="left"/>
      <protection hidden="1"/>
    </xf>
    <xf numFmtId="1" fontId="132" fillId="4" borderId="147" xfId="62" applyNumberFormat="1" applyFont="1" applyFill="1" applyBorder="1" applyAlignment="1" applyProtection="1">
      <alignment horizontal="center"/>
      <protection hidden="1"/>
    </xf>
    <xf numFmtId="172" fontId="132" fillId="0" borderId="149" xfId="62" applyNumberFormat="1" applyFont="1" applyBorder="1" applyAlignment="1" applyProtection="1">
      <alignment horizontal="center"/>
      <protection hidden="1"/>
    </xf>
    <xf numFmtId="1" fontId="132" fillId="4" borderId="149" xfId="62" applyNumberFormat="1" applyFont="1" applyFill="1" applyBorder="1" applyAlignment="1" applyProtection="1">
      <alignment horizontal="center"/>
      <protection hidden="1"/>
    </xf>
    <xf numFmtId="172" fontId="68" fillId="0" borderId="38" xfId="62" applyNumberFormat="1" applyFont="1" applyBorder="1" applyAlignment="1" applyProtection="1">
      <alignment horizontal="center"/>
      <protection hidden="1"/>
    </xf>
    <xf numFmtId="172" fontId="68" fillId="0" borderId="149" xfId="62" applyNumberFormat="1" applyFont="1" applyBorder="1" applyAlignment="1" applyProtection="1">
      <alignment horizontal="center"/>
      <protection hidden="1"/>
    </xf>
    <xf numFmtId="172" fontId="132" fillId="83" borderId="149" xfId="62" applyNumberFormat="1" applyFont="1" applyFill="1" applyBorder="1" applyAlignment="1" applyProtection="1">
      <alignment horizontal="center"/>
      <protection hidden="1"/>
    </xf>
    <xf numFmtId="0" fontId="133" fillId="45" borderId="146" xfId="62" applyFont="1" applyFill="1" applyBorder="1" applyAlignment="1" applyProtection="1">
      <alignment horizontal="left" vertical="center" wrapText="1"/>
      <protection hidden="1"/>
    </xf>
    <xf numFmtId="0" fontId="133" fillId="45" borderId="89" xfId="62" applyFont="1" applyFill="1" applyBorder="1" applyAlignment="1" applyProtection="1">
      <alignment horizontal="left" vertical="center" wrapText="1"/>
      <protection hidden="1"/>
    </xf>
    <xf numFmtId="1" fontId="132" fillId="4" borderId="151" xfId="62" applyNumberFormat="1" applyFont="1" applyFill="1" applyBorder="1" applyAlignment="1" applyProtection="1">
      <alignment horizontal="center"/>
      <protection hidden="1"/>
    </xf>
    <xf numFmtId="172" fontId="132" fillId="0" borderId="151" xfId="62" applyNumberFormat="1" applyFont="1" applyBorder="1" applyAlignment="1" applyProtection="1">
      <alignment horizontal="center"/>
      <protection hidden="1"/>
    </xf>
    <xf numFmtId="172" fontId="132" fillId="0" borderId="172" xfId="72" applyNumberFormat="1" applyFont="1" applyFill="1" applyBorder="1" applyAlignment="1" applyProtection="1">
      <alignment horizontal="center"/>
      <protection hidden="1"/>
    </xf>
    <xf numFmtId="172" fontId="132" fillId="0" borderId="172" xfId="72" applyNumberFormat="1" applyFont="1" applyFill="1" applyBorder="1" applyAlignment="1" applyProtection="1">
      <alignment horizontal="center" vertical="center"/>
      <protection hidden="1"/>
    </xf>
    <xf numFmtId="1" fontId="133" fillId="4" borderId="0" xfId="62" applyNumberFormat="1" applyFont="1" applyFill="1" applyAlignment="1" applyProtection="1">
      <alignment horizontal="left" vertical="center" wrapText="1"/>
      <protection hidden="1"/>
    </xf>
    <xf numFmtId="2" fontId="132" fillId="4" borderId="0" xfId="62" applyNumberFormat="1" applyFont="1" applyFill="1" applyAlignment="1" applyProtection="1">
      <alignment horizontal="center"/>
      <protection hidden="1"/>
    </xf>
    <xf numFmtId="168" fontId="132" fillId="4" borderId="0" xfId="62" applyNumberFormat="1" applyFont="1" applyFill="1" applyAlignment="1" applyProtection="1">
      <alignment horizontal="center"/>
      <protection hidden="1"/>
    </xf>
    <xf numFmtId="1" fontId="132" fillId="4" borderId="0" xfId="62" applyNumberFormat="1" applyFont="1" applyFill="1" applyAlignment="1" applyProtection="1">
      <alignment horizontal="center"/>
      <protection hidden="1"/>
    </xf>
    <xf numFmtId="2" fontId="133" fillId="45" borderId="151" xfId="62" applyNumberFormat="1" applyFont="1" applyFill="1" applyBorder="1" applyAlignment="1" applyProtection="1">
      <alignment horizontal="left" vertical="center"/>
      <protection hidden="1"/>
    </xf>
    <xf numFmtId="172" fontId="132" fillId="0" borderId="149" xfId="72" applyNumberFormat="1" applyFont="1" applyFill="1" applyBorder="1" applyAlignment="1" applyProtection="1">
      <alignment horizontal="center"/>
      <protection hidden="1"/>
    </xf>
    <xf numFmtId="172" fontId="132" fillId="0" borderId="147" xfId="62" applyNumberFormat="1" applyFont="1" applyBorder="1" applyAlignment="1" applyProtection="1">
      <alignment horizontal="center"/>
      <protection hidden="1"/>
    </xf>
    <xf numFmtId="172" fontId="68" fillId="0" borderId="151" xfId="62" applyNumberFormat="1" applyFont="1" applyBorder="1" applyAlignment="1" applyProtection="1">
      <alignment horizontal="center"/>
      <protection hidden="1"/>
    </xf>
    <xf numFmtId="1" fontId="132" fillId="4" borderId="0" xfId="62" applyNumberFormat="1" applyFont="1" applyFill="1" applyProtection="1">
      <protection hidden="1"/>
    </xf>
    <xf numFmtId="188" fontId="132" fillId="4" borderId="0" xfId="72" applyNumberFormat="1" applyFont="1" applyFill="1" applyProtection="1">
      <protection hidden="1"/>
    </xf>
    <xf numFmtId="0" fontId="218" fillId="4" borderId="0" xfId="62" applyFont="1" applyFill="1" applyProtection="1">
      <protection hidden="1"/>
    </xf>
    <xf numFmtId="0" fontId="233" fillId="4" borderId="0" xfId="62" applyFont="1" applyFill="1" applyProtection="1">
      <protection hidden="1"/>
    </xf>
    <xf numFmtId="0" fontId="252" fillId="0" borderId="0" xfId="0" applyFont="1" applyProtection="1">
      <protection hidden="1"/>
    </xf>
    <xf numFmtId="0" fontId="251" fillId="89" borderId="1" xfId="0" applyFont="1" applyFill="1" applyBorder="1" applyProtection="1">
      <protection hidden="1"/>
    </xf>
    <xf numFmtId="0" fontId="251" fillId="89" borderId="1" xfId="0" applyFont="1" applyFill="1" applyBorder="1" applyAlignment="1" applyProtection="1">
      <alignment wrapText="1"/>
      <protection hidden="1"/>
    </xf>
    <xf numFmtId="0" fontId="251" fillId="89" borderId="1" xfId="0" applyFont="1" applyFill="1" applyBorder="1" applyAlignment="1" applyProtection="1">
      <alignment horizontal="center" wrapText="1"/>
      <protection hidden="1"/>
    </xf>
    <xf numFmtId="182" fontId="0" fillId="0" borderId="0" xfId="0" applyNumberFormat="1" applyProtection="1">
      <protection hidden="1"/>
    </xf>
    <xf numFmtId="0" fontId="129" fillId="4" borderId="0" xfId="0" applyFont="1" applyFill="1" applyAlignment="1" applyProtection="1">
      <alignment horizontal="right" vertical="center"/>
      <protection hidden="1"/>
    </xf>
    <xf numFmtId="44" fontId="130" fillId="53" borderId="34" xfId="69" applyFont="1" applyFill="1" applyBorder="1" applyAlignment="1" applyProtection="1">
      <alignment horizontal="center" vertical="center"/>
      <protection hidden="1"/>
    </xf>
    <xf numFmtId="0" fontId="17" fillId="4" borderId="0" xfId="0" applyFont="1" applyFill="1" applyAlignment="1" applyProtection="1">
      <alignment horizontal="center" vertical="center"/>
      <protection hidden="1"/>
    </xf>
    <xf numFmtId="0" fontId="0" fillId="4" borderId="0" xfId="0" applyFill="1" applyAlignment="1" applyProtection="1">
      <alignment horizontal="left" vertical="center"/>
      <protection hidden="1"/>
    </xf>
    <xf numFmtId="0" fontId="0" fillId="4" borderId="0" xfId="0" applyFill="1" applyAlignment="1" applyProtection="1">
      <alignment horizontal="center"/>
      <protection hidden="1"/>
    </xf>
    <xf numFmtId="0" fontId="0" fillId="49" borderId="0" xfId="0" applyFill="1" applyProtection="1">
      <protection hidden="1"/>
    </xf>
    <xf numFmtId="0" fontId="9" fillId="4" borderId="0" xfId="0" applyFont="1" applyFill="1" applyProtection="1">
      <protection hidden="1"/>
    </xf>
    <xf numFmtId="0" fontId="131" fillId="0" borderId="1" xfId="0" applyFont="1" applyBorder="1" applyProtection="1">
      <protection hidden="1"/>
    </xf>
    <xf numFmtId="1" fontId="131" fillId="0" borderId="1" xfId="0" applyNumberFormat="1" applyFont="1" applyBorder="1" applyAlignment="1" applyProtection="1">
      <alignment horizontal="center"/>
      <protection hidden="1"/>
    </xf>
    <xf numFmtId="0" fontId="0" fillId="4" borderId="3" xfId="0" applyFill="1" applyBorder="1" applyProtection="1">
      <protection hidden="1"/>
    </xf>
    <xf numFmtId="0" fontId="0" fillId="4" borderId="3" xfId="0" applyFill="1" applyBorder="1" applyAlignment="1" applyProtection="1">
      <alignment horizontal="center"/>
      <protection hidden="1"/>
    </xf>
    <xf numFmtId="0" fontId="8" fillId="4" borderId="3" xfId="0" applyFont="1" applyFill="1" applyBorder="1" applyProtection="1">
      <protection hidden="1"/>
    </xf>
    <xf numFmtId="0" fontId="9" fillId="4" borderId="0" xfId="0" applyFont="1" applyFill="1" applyAlignment="1" applyProtection="1">
      <alignment horizontal="left" vertical="center"/>
      <protection hidden="1"/>
    </xf>
    <xf numFmtId="0" fontId="8" fillId="46" borderId="1" xfId="0" applyFont="1" applyFill="1" applyBorder="1" applyAlignment="1" applyProtection="1">
      <alignment wrapText="1"/>
      <protection hidden="1"/>
    </xf>
    <xf numFmtId="0" fontId="91" fillId="81" borderId="139" xfId="0" applyFont="1" applyFill="1" applyBorder="1" applyAlignment="1" applyProtection="1">
      <alignment horizontal="center" vertical="center" wrapText="1"/>
      <protection hidden="1"/>
    </xf>
    <xf numFmtId="0" fontId="8" fillId="0" borderId="0" xfId="0" applyFont="1" applyAlignment="1" applyProtection="1">
      <alignment horizontal="left"/>
      <protection hidden="1"/>
    </xf>
    <xf numFmtId="0" fontId="8" fillId="0" borderId="0" xfId="0" applyFont="1" applyAlignment="1" applyProtection="1">
      <alignment horizontal="center"/>
      <protection hidden="1"/>
    </xf>
    <xf numFmtId="0" fontId="60" fillId="0" borderId="0" xfId="0" applyFont="1" applyAlignment="1" applyProtection="1">
      <alignment vertical="center"/>
      <protection hidden="1"/>
    </xf>
    <xf numFmtId="0" fontId="67" fillId="0" borderId="0" xfId="0" applyFont="1" applyAlignment="1" applyProtection="1">
      <alignment vertical="center"/>
      <protection hidden="1"/>
    </xf>
    <xf numFmtId="0" fontId="60" fillId="0" borderId="0" xfId="0" quotePrefix="1" applyFont="1" applyAlignment="1" applyProtection="1">
      <alignment vertical="center"/>
      <protection hidden="1"/>
    </xf>
    <xf numFmtId="0" fontId="86" fillId="0" borderId="0" xfId="0" quotePrefix="1" applyFont="1" applyAlignment="1" applyProtection="1">
      <alignment vertical="top" wrapText="1"/>
      <protection hidden="1"/>
    </xf>
    <xf numFmtId="0" fontId="0" fillId="0" borderId="0" xfId="0" quotePrefix="1" applyAlignment="1" applyProtection="1">
      <alignment horizontal="left" indent="1"/>
      <protection hidden="1"/>
    </xf>
    <xf numFmtId="0" fontId="0" fillId="0" borderId="0" xfId="0" quotePrefix="1" applyAlignment="1" applyProtection="1">
      <alignment horizontal="left" vertical="center"/>
      <protection hidden="1"/>
    </xf>
    <xf numFmtId="0" fontId="0" fillId="0" borderId="0" xfId="0" quotePrefix="1" applyAlignment="1" applyProtection="1">
      <alignment horizontal="left" vertical="center" wrapText="1"/>
      <protection hidden="1"/>
    </xf>
    <xf numFmtId="0" fontId="0" fillId="0" borderId="0" xfId="0" quotePrefix="1" applyAlignment="1" applyProtection="1">
      <alignment horizontal="left" wrapText="1"/>
      <protection hidden="1"/>
    </xf>
    <xf numFmtId="0" fontId="9" fillId="0" borderId="0" xfId="0" quotePrefix="1" applyFont="1" applyAlignment="1" applyProtection="1">
      <alignment horizontal="left" vertical="center"/>
      <protection hidden="1"/>
    </xf>
    <xf numFmtId="0" fontId="0" fillId="0" borderId="0" xfId="0" applyAlignment="1" applyProtection="1">
      <alignment horizontal="left" vertical="center" wrapText="1" indent="1"/>
      <protection hidden="1"/>
    </xf>
    <xf numFmtId="0" fontId="258" fillId="0" borderId="0" xfId="2" applyFont="1" applyBorder="1"/>
    <xf numFmtId="0" fontId="259" fillId="58" borderId="1" xfId="10" applyFont="1" applyFill="1" applyBorder="1" applyAlignment="1" applyProtection="1">
      <alignment horizontal="center" vertical="center" wrapText="1"/>
      <protection locked="0"/>
    </xf>
    <xf numFmtId="197" fontId="24" fillId="58" borderId="1" xfId="68" applyNumberFormat="1" applyFont="1" applyFill="1" applyBorder="1" applyAlignment="1" applyProtection="1">
      <alignment horizontal="center" vertical="center"/>
      <protection locked="0"/>
    </xf>
    <xf numFmtId="0" fontId="43" fillId="69" borderId="1" xfId="0" applyFont="1" applyFill="1" applyBorder="1" applyAlignment="1">
      <alignment horizontal="center" vertical="center"/>
    </xf>
    <xf numFmtId="0" fontId="43" fillId="0" borderId="1" xfId="0" applyFont="1" applyBorder="1" applyAlignment="1">
      <alignment horizontal="center" vertical="center"/>
    </xf>
    <xf numFmtId="0" fontId="171" fillId="0" borderId="1" xfId="0" applyFont="1" applyBorder="1" applyAlignment="1">
      <alignment horizontal="center" vertical="center"/>
    </xf>
    <xf numFmtId="4" fontId="171" fillId="0" borderId="1" xfId="0" applyNumberFormat="1" applyFont="1" applyBorder="1" applyAlignment="1">
      <alignment horizontal="center" vertical="center"/>
    </xf>
    <xf numFmtId="177" fontId="0" fillId="0" borderId="1" xfId="68" applyNumberFormat="1" applyFont="1" applyBorder="1" applyAlignment="1">
      <alignment horizontal="center" vertical="center" wrapText="1"/>
    </xf>
    <xf numFmtId="164" fontId="0" fillId="0" borderId="1" xfId="68" applyNumberFormat="1" applyFont="1" applyBorder="1" applyAlignment="1">
      <alignment horizontal="center"/>
    </xf>
    <xf numFmtId="167" fontId="53" fillId="0" borderId="110" xfId="0" applyNumberFormat="1" applyFont="1" applyBorder="1" applyAlignment="1">
      <alignment horizontal="center"/>
    </xf>
    <xf numFmtId="0" fontId="13" fillId="4" borderId="98" xfId="2" applyFill="1" applyBorder="1" applyAlignment="1">
      <alignment vertical="center"/>
    </xf>
    <xf numFmtId="0" fontId="40" fillId="57" borderId="1" xfId="0" applyFont="1" applyFill="1" applyBorder="1" applyAlignment="1">
      <alignment vertical="center" wrapText="1"/>
    </xf>
    <xf numFmtId="0" fontId="24" fillId="58" borderId="121" xfId="10" applyFill="1" applyBorder="1" applyAlignment="1" applyProtection="1">
      <alignment horizontal="center" vertical="center" wrapText="1"/>
      <protection locked="0"/>
    </xf>
    <xf numFmtId="0" fontId="157" fillId="63" borderId="0" xfId="0" applyFont="1" applyFill="1" applyAlignment="1">
      <alignment horizontal="center"/>
    </xf>
    <xf numFmtId="197" fontId="47" fillId="0" borderId="1" xfId="68" applyNumberFormat="1" applyFont="1" applyBorder="1" applyAlignment="1">
      <alignment horizontal="center" vertical="center"/>
    </xf>
    <xf numFmtId="164" fontId="0" fillId="0" borderId="27" xfId="0" applyNumberFormat="1" applyBorder="1" applyAlignment="1" applyProtection="1">
      <alignment horizontal="center"/>
      <protection hidden="1"/>
    </xf>
    <xf numFmtId="170" fontId="29" fillId="4" borderId="0" xfId="0" applyNumberFormat="1" applyFont="1" applyFill="1" applyAlignment="1">
      <alignment horizontal="center"/>
    </xf>
    <xf numFmtId="0" fontId="177" fillId="0" borderId="0" xfId="0" applyFont="1"/>
    <xf numFmtId="0" fontId="177" fillId="0" borderId="0" xfId="0" applyFont="1" applyAlignment="1">
      <alignment horizontal="center"/>
    </xf>
    <xf numFmtId="0" fontId="260" fillId="4" borderId="0" xfId="0" applyFont="1" applyFill="1" applyAlignment="1">
      <alignment horizontal="center" vertical="center"/>
    </xf>
    <xf numFmtId="43" fontId="260" fillId="4" borderId="0" xfId="68" applyFont="1" applyFill="1" applyAlignment="1">
      <alignment horizontal="center" vertical="center"/>
    </xf>
    <xf numFmtId="170" fontId="29" fillId="4" borderId="0" xfId="0" applyNumberFormat="1" applyFont="1" applyFill="1"/>
    <xf numFmtId="187" fontId="260" fillId="4" borderId="0" xfId="0" applyNumberFormat="1" applyFont="1" applyFill="1" applyAlignment="1">
      <alignment horizontal="center" vertical="center"/>
    </xf>
    <xf numFmtId="3" fontId="29" fillId="4" borderId="0" xfId="0" applyNumberFormat="1" applyFont="1" applyFill="1" applyAlignment="1">
      <alignment horizontal="center" vertical="center"/>
    </xf>
    <xf numFmtId="9" fontId="29" fillId="4" borderId="0" xfId="1" applyFont="1" applyFill="1"/>
    <xf numFmtId="3" fontId="29" fillId="0" borderId="0" xfId="0" applyNumberFormat="1" applyFont="1" applyAlignment="1">
      <alignment horizontal="center" vertical="center"/>
    </xf>
    <xf numFmtId="9" fontId="29" fillId="0" borderId="0" xfId="1" applyFont="1" applyFill="1"/>
    <xf numFmtId="0" fontId="7" fillId="4" borderId="0" xfId="0" applyFont="1" applyFill="1" applyAlignment="1">
      <alignment horizontal="center" vertical="center" wrapText="1"/>
    </xf>
    <xf numFmtId="0" fontId="7" fillId="4" borderId="0" xfId="0" applyFont="1" applyFill="1" applyAlignment="1">
      <alignment vertical="center"/>
    </xf>
    <xf numFmtId="177" fontId="31" fillId="0" borderId="1" xfId="68" applyNumberFormat="1" applyFont="1" applyBorder="1" applyAlignment="1">
      <alignment horizontal="center" vertical="center" wrapText="1"/>
    </xf>
    <xf numFmtId="0" fontId="11" fillId="4" borderId="0" xfId="0" applyFont="1" applyFill="1" applyAlignment="1">
      <alignment horizontal="center" vertical="center"/>
    </xf>
    <xf numFmtId="0" fontId="11" fillId="70" borderId="0" xfId="0" applyFont="1" applyFill="1" applyAlignment="1">
      <alignment horizontal="center" vertical="center"/>
    </xf>
    <xf numFmtId="0" fontId="173" fillId="71" borderId="103" xfId="0" applyFont="1" applyFill="1" applyBorder="1" applyAlignment="1">
      <alignment horizontal="center" vertical="center"/>
    </xf>
    <xf numFmtId="0" fontId="11" fillId="62" borderId="112" xfId="0" applyFont="1" applyFill="1" applyBorder="1" applyAlignment="1">
      <alignment horizontal="center" vertical="center"/>
    </xf>
    <xf numFmtId="0" fontId="47" fillId="63" borderId="112" xfId="0" applyFont="1" applyFill="1" applyBorder="1" applyAlignment="1">
      <alignment horizontal="center" vertical="center"/>
    </xf>
    <xf numFmtId="0" fontId="55" fillId="63" borderId="112" xfId="0" applyFont="1" applyFill="1" applyBorder="1" applyAlignment="1">
      <alignment horizontal="center" vertical="center"/>
    </xf>
    <xf numFmtId="0" fontId="11" fillId="63" borderId="112" xfId="0" applyFont="1" applyFill="1" applyBorder="1" applyAlignment="1">
      <alignment horizontal="center" vertical="center"/>
    </xf>
    <xf numFmtId="0" fontId="11" fillId="66" borderId="112" xfId="0" applyFont="1" applyFill="1" applyBorder="1" applyAlignment="1">
      <alignment horizontal="center" vertical="center"/>
    </xf>
    <xf numFmtId="0" fontId="47" fillId="67" borderId="112" xfId="0" applyFont="1" applyFill="1" applyBorder="1" applyAlignment="1">
      <alignment horizontal="center" vertical="center"/>
    </xf>
    <xf numFmtId="0" fontId="11" fillId="72" borderId="112" xfId="0" applyFont="1" applyFill="1" applyBorder="1" applyAlignment="1">
      <alignment horizontal="center" vertical="center"/>
    </xf>
    <xf numFmtId="0" fontId="47" fillId="73" borderId="112" xfId="0" applyFont="1" applyFill="1" applyBorder="1" applyAlignment="1">
      <alignment horizontal="center" vertical="center"/>
    </xf>
    <xf numFmtId="0" fontId="47" fillId="73" borderId="0" xfId="0" applyFont="1" applyFill="1" applyAlignment="1">
      <alignment horizontal="center" vertical="center"/>
    </xf>
    <xf numFmtId="0" fontId="11" fillId="73" borderId="112" xfId="0" applyFont="1" applyFill="1" applyBorder="1" applyAlignment="1">
      <alignment horizontal="center" vertical="center"/>
    </xf>
    <xf numFmtId="0" fontId="11" fillId="73" borderId="112" xfId="0" quotePrefix="1" applyFont="1" applyFill="1" applyBorder="1" applyAlignment="1">
      <alignment horizontal="center" vertical="center"/>
    </xf>
    <xf numFmtId="0" fontId="176" fillId="4" borderId="0" xfId="0" applyFont="1" applyFill="1" applyAlignment="1">
      <alignment horizontal="center" vertical="center" wrapText="1"/>
    </xf>
    <xf numFmtId="0" fontId="11" fillId="0" borderId="0" xfId="0" applyFont="1" applyAlignment="1">
      <alignment horizontal="center" vertical="center"/>
    </xf>
    <xf numFmtId="0" fontId="0" fillId="4" borderId="0" xfId="0" applyFill="1" applyAlignment="1">
      <alignment horizontal="center"/>
    </xf>
    <xf numFmtId="0" fontId="0" fillId="4" borderId="24" xfId="0" applyFill="1" applyBorder="1" applyAlignment="1">
      <alignment horizontal="center"/>
    </xf>
    <xf numFmtId="0" fontId="47" fillId="73" borderId="112" xfId="0" applyFont="1" applyFill="1" applyBorder="1" applyAlignment="1">
      <alignment horizontal="left" vertical="center"/>
    </xf>
    <xf numFmtId="188" fontId="47" fillId="67" borderId="112" xfId="64" applyNumberFormat="1" applyFont="1" applyFill="1" applyBorder="1" applyAlignment="1">
      <alignment horizontal="right" vertical="center"/>
    </xf>
    <xf numFmtId="37" fontId="12" fillId="4" borderId="0" xfId="64" applyNumberFormat="1" applyFont="1" applyFill="1" applyBorder="1" applyAlignment="1">
      <alignment horizontal="right" vertical="center"/>
    </xf>
    <xf numFmtId="37" fontId="12" fillId="4" borderId="0" xfId="64" applyNumberFormat="1" applyFont="1" applyFill="1" applyBorder="1" applyAlignment="1">
      <alignment horizontal="left" vertical="center"/>
    </xf>
    <xf numFmtId="0" fontId="177" fillId="70" borderId="0" xfId="0" applyFont="1" applyFill="1" applyAlignment="1">
      <alignment horizontal="left" vertical="center"/>
    </xf>
    <xf numFmtId="0" fontId="177" fillId="70" borderId="0" xfId="33" applyFont="1" applyFill="1" applyAlignment="1">
      <alignment horizontal="left" vertical="center"/>
    </xf>
    <xf numFmtId="0" fontId="177" fillId="70" borderId="0" xfId="33" applyFont="1" applyFill="1" applyAlignment="1">
      <alignment vertical="center"/>
    </xf>
    <xf numFmtId="168" fontId="47" fillId="76" borderId="1" xfId="67" applyNumberFormat="1" applyFont="1" applyFill="1" applyBorder="1"/>
    <xf numFmtId="0" fontId="9" fillId="0" borderId="0" xfId="0" applyFont="1" applyAlignment="1">
      <alignment horizontal="left" vertical="center" wrapText="1"/>
    </xf>
    <xf numFmtId="0" fontId="59" fillId="4" borderId="0" xfId="0" applyFont="1" applyFill="1" applyAlignment="1">
      <alignment horizontal="left" wrapText="1"/>
    </xf>
    <xf numFmtId="0" fontId="15" fillId="4" borderId="0" xfId="0" applyFont="1" applyFill="1" applyAlignment="1">
      <alignment horizontal="left" vertical="center" wrapText="1"/>
    </xf>
    <xf numFmtId="0" fontId="9" fillId="4" borderId="0" xfId="0" applyFont="1" applyFill="1" applyAlignment="1">
      <alignment horizontal="left" vertical="center" wrapText="1"/>
    </xf>
    <xf numFmtId="0" fontId="24" fillId="58" borderId="8" xfId="10" applyFill="1" applyAlignment="1" applyProtection="1">
      <alignment horizontal="center"/>
      <protection locked="0"/>
    </xf>
    <xf numFmtId="0" fontId="150" fillId="58" borderId="8" xfId="65" applyFont="1" applyFill="1" applyBorder="1" applyAlignment="1" applyProtection="1">
      <alignment horizontal="center"/>
      <protection locked="0"/>
    </xf>
    <xf numFmtId="0" fontId="8" fillId="4" borderId="94" xfId="0" applyFont="1" applyFill="1" applyBorder="1" applyAlignment="1">
      <alignment horizontal="left" vertical="center" wrapText="1"/>
    </xf>
    <xf numFmtId="0" fontId="8" fillId="4" borderId="97" xfId="0" applyFont="1" applyFill="1" applyBorder="1" applyAlignment="1">
      <alignment horizontal="left" vertical="center" wrapText="1"/>
    </xf>
    <xf numFmtId="0" fontId="155" fillId="2" borderId="1" xfId="2" applyFont="1" applyFill="1" applyBorder="1" applyAlignment="1">
      <alignment horizontal="left" wrapText="1"/>
    </xf>
    <xf numFmtId="0" fontId="8" fillId="4" borderId="100" xfId="0" applyFont="1" applyFill="1" applyBorder="1" applyAlignment="1">
      <alignment horizontal="left" vertical="center" wrapText="1"/>
    </xf>
    <xf numFmtId="0" fontId="15" fillId="0" borderId="0" xfId="0" applyFont="1" applyAlignment="1">
      <alignment horizontal="left" vertical="center" wrapText="1"/>
    </xf>
    <xf numFmtId="0" fontId="9" fillId="4" borderId="0" xfId="0" applyFont="1" applyFill="1" applyAlignment="1">
      <alignment horizontal="left" wrapText="1"/>
    </xf>
    <xf numFmtId="0" fontId="9" fillId="0" borderId="0" xfId="0" applyFont="1" applyAlignment="1">
      <alignment horizontal="left" wrapText="1"/>
    </xf>
    <xf numFmtId="0" fontId="0" fillId="0" borderId="0" xfId="0" applyAlignment="1">
      <alignment horizontal="left" vertical="center" wrapText="1"/>
    </xf>
    <xf numFmtId="0" fontId="24" fillId="58" borderId="104" xfId="10" applyNumberFormat="1" applyFill="1" applyBorder="1" applyAlignment="1" applyProtection="1">
      <alignment horizontal="center" vertical="center"/>
      <protection locked="0"/>
    </xf>
    <xf numFmtId="0" fontId="24" fillId="58" borderId="105" xfId="10" applyNumberFormat="1" applyFill="1" applyBorder="1" applyAlignment="1" applyProtection="1">
      <alignment horizontal="center" vertical="center"/>
      <protection locked="0"/>
    </xf>
    <xf numFmtId="0" fontId="9" fillId="0" borderId="0" xfId="0" applyFont="1" applyAlignment="1">
      <alignment horizontal="left" vertical="center"/>
    </xf>
    <xf numFmtId="49" fontId="9" fillId="0" borderId="0" xfId="0" applyNumberFormat="1" applyFont="1" applyAlignment="1">
      <alignment horizontal="left" vertical="center" wrapText="1"/>
    </xf>
    <xf numFmtId="0" fontId="0" fillId="63" borderId="16" xfId="0" applyFill="1" applyBorder="1" applyAlignment="1">
      <alignment horizontal="center" vertical="center"/>
    </xf>
    <xf numFmtId="0" fontId="0" fillId="63" borderId="29" xfId="0" applyFill="1" applyBorder="1" applyAlignment="1">
      <alignment horizontal="center" vertical="center"/>
    </xf>
    <xf numFmtId="0" fontId="0" fillId="63" borderId="17" xfId="0" applyFill="1" applyBorder="1" applyAlignment="1">
      <alignment horizontal="center" vertical="center"/>
    </xf>
    <xf numFmtId="0" fontId="33" fillId="0" borderId="0" xfId="0" applyFont="1" applyAlignment="1">
      <alignment horizontal="left" vertical="center" wrapText="1"/>
    </xf>
    <xf numFmtId="0" fontId="32" fillId="0" borderId="0" xfId="0" applyFont="1" applyAlignment="1">
      <alignment horizontal="left" vertical="center" wrapText="1"/>
    </xf>
    <xf numFmtId="0" fontId="8" fillId="0" borderId="0" xfId="0" applyFont="1" applyAlignment="1">
      <alignment horizontal="center" wrapText="1"/>
    </xf>
    <xf numFmtId="0" fontId="8" fillId="0" borderId="109" xfId="0" applyFont="1" applyBorder="1" applyAlignment="1">
      <alignment horizontal="center" wrapText="1"/>
    </xf>
    <xf numFmtId="0" fontId="24" fillId="58" borderId="104" xfId="10" applyFill="1" applyBorder="1" applyAlignment="1" applyProtection="1">
      <alignment horizontal="center" vertical="center"/>
      <protection locked="0"/>
    </xf>
    <xf numFmtId="0" fontId="24" fillId="58" borderId="105" xfId="10" applyFill="1" applyBorder="1" applyAlignment="1" applyProtection="1">
      <alignment horizontal="center" vertical="center"/>
      <protection locked="0"/>
    </xf>
    <xf numFmtId="0" fontId="157" fillId="63" borderId="0" xfId="0" applyFont="1" applyFill="1" applyAlignment="1">
      <alignment horizontal="left" vertical="center" wrapText="1"/>
    </xf>
    <xf numFmtId="0" fontId="24" fillId="58" borderId="8" xfId="10" applyFill="1" applyAlignment="1" applyProtection="1">
      <alignment horizontal="center" vertical="center"/>
      <protection locked="0"/>
    </xf>
    <xf numFmtId="0" fontId="0" fillId="63" borderId="4" xfId="0" applyFill="1" applyBorder="1" applyAlignment="1">
      <alignment horizontal="center" vertical="center" wrapText="1"/>
    </xf>
    <xf numFmtId="0" fontId="0" fillId="63" borderId="25" xfId="0" applyFill="1" applyBorder="1" applyAlignment="1">
      <alignment horizontal="center" vertical="center" wrapText="1"/>
    </xf>
    <xf numFmtId="0" fontId="0" fillId="63" borderId="27" xfId="0" applyFill="1" applyBorder="1" applyAlignment="1">
      <alignment horizontal="center" vertical="center" wrapText="1"/>
    </xf>
    <xf numFmtId="0" fontId="0" fillId="0" borderId="0" xfId="0" applyAlignment="1">
      <alignment horizontal="left" wrapText="1"/>
    </xf>
    <xf numFmtId="0" fontId="32" fillId="57" borderId="113" xfId="0" applyFont="1" applyFill="1" applyBorder="1" applyAlignment="1">
      <alignment horizontal="center" vertical="center"/>
    </xf>
    <xf numFmtId="0" fontId="32" fillId="57" borderId="2" xfId="0" applyFont="1" applyFill="1" applyBorder="1" applyAlignment="1">
      <alignment horizontal="center" vertical="center"/>
    </xf>
    <xf numFmtId="0" fontId="32" fillId="57" borderId="24" xfId="0" applyFont="1" applyFill="1" applyBorder="1" applyAlignment="1">
      <alignment horizontal="center" vertical="center" wrapText="1"/>
    </xf>
    <xf numFmtId="0" fontId="32" fillId="57" borderId="114" xfId="0" applyFont="1" applyFill="1" applyBorder="1" applyAlignment="1">
      <alignment horizontal="center" vertical="center" wrapText="1"/>
    </xf>
    <xf numFmtId="0" fontId="40" fillId="57" borderId="1" xfId="0" applyFont="1" applyFill="1" applyBorder="1" applyAlignment="1">
      <alignment horizontal="center" vertical="center" wrapText="1"/>
    </xf>
    <xf numFmtId="49" fontId="169" fillId="57" borderId="28" xfId="0" applyNumberFormat="1" applyFont="1" applyFill="1" applyBorder="1" applyAlignment="1">
      <alignment horizontal="center" vertical="center" wrapText="1"/>
    </xf>
    <xf numFmtId="49" fontId="169" fillId="57" borderId="3" xfId="0" applyNumberFormat="1" applyFont="1" applyFill="1" applyBorder="1" applyAlignment="1">
      <alignment horizontal="center" vertical="center" wrapText="1"/>
    </xf>
    <xf numFmtId="0" fontId="32" fillId="57" borderId="30" xfId="0" applyFont="1" applyFill="1" applyBorder="1" applyAlignment="1">
      <alignment horizontal="center" vertical="center" wrapText="1"/>
    </xf>
    <xf numFmtId="0" fontId="32" fillId="57" borderId="119" xfId="0" applyFont="1" applyFill="1" applyBorder="1" applyAlignment="1">
      <alignment horizontal="center" vertical="center" wrapText="1"/>
    </xf>
    <xf numFmtId="0" fontId="33" fillId="57" borderId="16" xfId="0" applyFont="1" applyFill="1" applyBorder="1" applyAlignment="1">
      <alignment horizontal="center" vertical="center"/>
    </xf>
    <xf numFmtId="0" fontId="33" fillId="57" borderId="29" xfId="0" applyFont="1" applyFill="1" applyBorder="1" applyAlignment="1">
      <alignment horizontal="center" vertical="center"/>
    </xf>
    <xf numFmtId="0" fontId="33" fillId="57" borderId="17" xfId="0" applyFont="1" applyFill="1" applyBorder="1" applyAlignment="1">
      <alignment horizontal="center" vertical="center"/>
    </xf>
    <xf numFmtId="0" fontId="33" fillId="57" borderId="114" xfId="0" applyFont="1" applyFill="1" applyBorder="1" applyAlignment="1">
      <alignment horizontal="center" vertical="center"/>
    </xf>
    <xf numFmtId="0" fontId="33" fillId="57" borderId="3" xfId="0" applyFont="1" applyFill="1" applyBorder="1" applyAlignment="1">
      <alignment horizontal="center" vertical="center"/>
    </xf>
    <xf numFmtId="0" fontId="33" fillId="57" borderId="2" xfId="0" applyFont="1" applyFill="1" applyBorder="1" applyAlignment="1">
      <alignment horizontal="center" vertical="center"/>
    </xf>
    <xf numFmtId="0" fontId="32" fillId="57" borderId="26" xfId="0" applyFont="1" applyFill="1" applyBorder="1" applyAlignment="1">
      <alignment horizontal="center" vertical="center" wrapText="1"/>
    </xf>
    <xf numFmtId="0" fontId="32" fillId="0" borderId="24" xfId="0" applyFont="1" applyBorder="1" applyAlignment="1">
      <alignment horizontal="left" vertical="center" wrapText="1"/>
    </xf>
    <xf numFmtId="0" fontId="32" fillId="0" borderId="28" xfId="0" applyFont="1" applyBorder="1" applyAlignment="1">
      <alignment horizontal="left" vertical="center" wrapText="1"/>
    </xf>
    <xf numFmtId="0" fontId="32" fillId="0" borderId="113" xfId="0" applyFont="1" applyBorder="1" applyAlignment="1">
      <alignment horizontal="left" vertical="center" wrapText="1"/>
    </xf>
    <xf numFmtId="0" fontId="32" fillId="57" borderId="4" xfId="0" applyFont="1" applyFill="1" applyBorder="1" applyAlignment="1">
      <alignment horizontal="center" vertical="center" wrapText="1"/>
    </xf>
    <xf numFmtId="0" fontId="32" fillId="57" borderId="27" xfId="0" applyFont="1" applyFill="1" applyBorder="1" applyAlignment="1">
      <alignment horizontal="center" vertical="center" wrapText="1"/>
    </xf>
    <xf numFmtId="49" fontId="169" fillId="57" borderId="26" xfId="0" applyNumberFormat="1" applyFont="1" applyFill="1" applyBorder="1" applyAlignment="1">
      <alignment horizontal="center" vertical="center" wrapText="1"/>
    </xf>
    <xf numFmtId="49" fontId="169" fillId="57" borderId="4" xfId="0" applyNumberFormat="1" applyFont="1" applyFill="1" applyBorder="1" applyAlignment="1">
      <alignment horizontal="center" vertical="center" wrapText="1"/>
    </xf>
    <xf numFmtId="49" fontId="169" fillId="57" borderId="25" xfId="0" applyNumberFormat="1" applyFont="1" applyFill="1" applyBorder="1" applyAlignment="1">
      <alignment horizontal="center" vertical="center" wrapText="1"/>
    </xf>
    <xf numFmtId="49" fontId="169" fillId="57" borderId="16" xfId="0" applyNumberFormat="1" applyFont="1" applyFill="1" applyBorder="1" applyAlignment="1">
      <alignment horizontal="center" vertical="center"/>
    </xf>
    <xf numFmtId="49" fontId="169" fillId="57" borderId="29" xfId="0" applyNumberFormat="1" applyFont="1" applyFill="1" applyBorder="1" applyAlignment="1">
      <alignment horizontal="center" vertical="center"/>
    </xf>
    <xf numFmtId="49" fontId="169" fillId="57" borderId="17" xfId="0" applyNumberFormat="1" applyFont="1" applyFill="1" applyBorder="1" applyAlignment="1">
      <alignment horizontal="center" vertical="center"/>
    </xf>
    <xf numFmtId="0" fontId="33" fillId="57" borderId="115" xfId="0" applyFont="1" applyFill="1" applyBorder="1" applyAlignment="1">
      <alignment horizontal="center" vertical="center"/>
    </xf>
    <xf numFmtId="0" fontId="33" fillId="57" borderId="116" xfId="0" applyFont="1" applyFill="1" applyBorder="1" applyAlignment="1">
      <alignment horizontal="center" vertical="center"/>
    </xf>
    <xf numFmtId="0" fontId="33" fillId="57" borderId="117" xfId="0" applyFont="1" applyFill="1" applyBorder="1" applyAlignment="1">
      <alignment horizontal="center" vertical="center"/>
    </xf>
    <xf numFmtId="49" fontId="169" fillId="57" borderId="24" xfId="0" applyNumberFormat="1" applyFont="1" applyFill="1" applyBorder="1" applyAlignment="1">
      <alignment horizontal="center" vertical="center"/>
    </xf>
    <xf numFmtId="49" fontId="169" fillId="57" borderId="113" xfId="0" applyNumberFormat="1" applyFont="1" applyFill="1" applyBorder="1" applyAlignment="1">
      <alignment horizontal="center" vertical="center"/>
    </xf>
    <xf numFmtId="49" fontId="169" fillId="57" borderId="26" xfId="0" applyNumberFormat="1" applyFont="1" applyFill="1" applyBorder="1" applyAlignment="1">
      <alignment horizontal="center" vertical="center"/>
    </xf>
    <xf numFmtId="0" fontId="47" fillId="63" borderId="1" xfId="66" applyFill="1" applyBorder="1" applyAlignment="1">
      <alignment horizontal="center" vertical="center" wrapText="1"/>
    </xf>
    <xf numFmtId="49" fontId="0" fillId="0" borderId="0" xfId="0" applyNumberFormat="1" applyAlignment="1">
      <alignment horizontal="left" vertical="center" wrapText="1"/>
    </xf>
    <xf numFmtId="0" fontId="47" fillId="63" borderId="4" xfId="66" applyFill="1" applyBorder="1" applyAlignment="1">
      <alignment horizontal="center" vertical="center" wrapText="1"/>
    </xf>
    <xf numFmtId="0" fontId="47" fillId="63" borderId="27" xfId="66" applyFill="1" applyBorder="1" applyAlignment="1">
      <alignment horizontal="center" vertical="center" wrapText="1"/>
    </xf>
    <xf numFmtId="0" fontId="47" fillId="74" borderId="1" xfId="66" applyFill="1" applyBorder="1" applyAlignment="1">
      <alignment horizontal="center" vertical="center" wrapText="1"/>
    </xf>
    <xf numFmtId="0" fontId="55" fillId="63" borderId="1" xfId="66" applyFont="1" applyFill="1" applyBorder="1" applyAlignment="1">
      <alignment horizontal="center" vertical="center" wrapText="1"/>
    </xf>
    <xf numFmtId="0" fontId="47" fillId="0" borderId="0" xfId="0" applyFont="1" applyAlignment="1">
      <alignment horizontal="left" vertical="center" wrapText="1"/>
    </xf>
    <xf numFmtId="0" fontId="47" fillId="0" borderId="0" xfId="67" applyFont="1" applyAlignment="1">
      <alignment horizontal="left" vertical="center" wrapText="1"/>
    </xf>
    <xf numFmtId="0" fontId="192" fillId="0" borderId="0" xfId="67" applyFont="1" applyAlignment="1">
      <alignment horizontal="center"/>
    </xf>
    <xf numFmtId="0" fontId="261" fillId="70" borderId="0" xfId="45" applyFont="1" applyFill="1" applyAlignment="1">
      <alignment horizontal="center" vertical="center" wrapText="1"/>
    </xf>
    <xf numFmtId="0" fontId="47" fillId="4" borderId="0" xfId="0" applyFont="1" applyFill="1" applyAlignment="1">
      <alignment horizontal="right" vertical="center" wrapText="1"/>
    </xf>
    <xf numFmtId="0" fontId="58" fillId="4" borderId="0" xfId="0" applyFont="1" applyFill="1" applyAlignment="1">
      <alignment horizontal="left" vertical="center" wrapText="1"/>
    </xf>
    <xf numFmtId="0" fontId="177" fillId="70" borderId="0" xfId="0" applyFont="1" applyFill="1" applyAlignment="1">
      <alignment horizontal="left" vertical="center"/>
    </xf>
    <xf numFmtId="0" fontId="177" fillId="70" borderId="0" xfId="0" applyFont="1" applyFill="1" applyAlignment="1">
      <alignment horizontal="center" vertical="center"/>
    </xf>
    <xf numFmtId="0" fontId="178" fillId="39" borderId="0" xfId="44" applyFont="1" applyFill="1" applyBorder="1" applyAlignment="1">
      <alignment horizontal="center" vertical="center"/>
    </xf>
    <xf numFmtId="188" fontId="47" fillId="63" borderId="112" xfId="64" applyNumberFormat="1" applyFont="1" applyFill="1" applyBorder="1" applyAlignment="1">
      <alignment horizontal="center" vertical="center"/>
    </xf>
    <xf numFmtId="188" fontId="157" fillId="62" borderId="112" xfId="64" applyNumberFormat="1" applyFont="1" applyFill="1" applyBorder="1" applyAlignment="1">
      <alignment horizontal="center" vertical="center"/>
    </xf>
    <xf numFmtId="188" fontId="157" fillId="72" borderId="112" xfId="64" applyNumberFormat="1" applyFont="1" applyFill="1" applyBorder="1" applyAlignment="1">
      <alignment horizontal="center" vertical="center"/>
    </xf>
    <xf numFmtId="188" fontId="157" fillId="66" borderId="112" xfId="64" applyNumberFormat="1" applyFont="1" applyFill="1" applyBorder="1" applyAlignment="1">
      <alignment horizontal="center" vertical="center"/>
    </xf>
    <xf numFmtId="0" fontId="0" fillId="0" borderId="0" xfId="0" applyAlignment="1">
      <alignment horizontal="left" vertical="center"/>
    </xf>
    <xf numFmtId="0" fontId="93" fillId="50" borderId="154" xfId="0" applyFont="1" applyFill="1" applyBorder="1" applyAlignment="1" applyProtection="1">
      <alignment horizontal="left" vertical="center"/>
      <protection hidden="1"/>
    </xf>
    <xf numFmtId="0" fontId="93" fillId="50" borderId="155" xfId="0" applyFont="1" applyFill="1" applyBorder="1" applyAlignment="1" applyProtection="1">
      <alignment horizontal="left" vertical="center"/>
      <protection hidden="1"/>
    </xf>
    <xf numFmtId="0" fontId="93" fillId="50" borderId="156" xfId="0" applyFont="1" applyFill="1" applyBorder="1" applyAlignment="1" applyProtection="1">
      <alignment horizontal="left" vertical="center"/>
      <protection hidden="1"/>
    </xf>
    <xf numFmtId="4" fontId="81" fillId="0" borderId="157" xfId="0" applyNumberFormat="1" applyFont="1" applyBorder="1" applyAlignment="1" applyProtection="1">
      <alignment horizontal="left" wrapText="1" indent="4"/>
      <protection hidden="1"/>
    </xf>
    <xf numFmtId="4" fontId="81" fillId="0" borderId="0" xfId="0" applyNumberFormat="1" applyFont="1" applyAlignment="1" applyProtection="1">
      <alignment horizontal="left" wrapText="1" indent="4"/>
      <protection hidden="1"/>
    </xf>
    <xf numFmtId="0" fontId="0" fillId="40" borderId="45" xfId="0" applyFill="1" applyBorder="1" applyAlignment="1">
      <alignment horizontal="left" vertical="center" wrapText="1"/>
    </xf>
    <xf numFmtId="0" fontId="0" fillId="40" borderId="46" xfId="0" applyFill="1" applyBorder="1" applyAlignment="1">
      <alignment horizontal="left" vertical="center" wrapText="1"/>
    </xf>
    <xf numFmtId="0" fontId="0" fillId="40" borderId="47" xfId="0" applyFill="1" applyBorder="1" applyAlignment="1">
      <alignment horizontal="left" vertical="center" wrapText="1"/>
    </xf>
    <xf numFmtId="0" fontId="90" fillId="85" borderId="4" xfId="0" applyFont="1" applyFill="1" applyBorder="1" applyAlignment="1">
      <alignment horizontal="center" vertical="center" textRotation="90"/>
    </xf>
    <xf numFmtId="0" fontId="90" fillId="85" borderId="25" xfId="0" applyFont="1" applyFill="1" applyBorder="1" applyAlignment="1">
      <alignment horizontal="center" vertical="center" textRotation="90"/>
    </xf>
    <xf numFmtId="0" fontId="90" fillId="85" borderId="27" xfId="0" applyFont="1" applyFill="1" applyBorder="1" applyAlignment="1">
      <alignment horizontal="center" vertical="center" textRotation="90"/>
    </xf>
    <xf numFmtId="0" fontId="96" fillId="0" borderId="0" xfId="0" applyFont="1" applyAlignment="1" applyProtection="1">
      <alignment horizontal="left" vertical="center" wrapText="1"/>
      <protection hidden="1"/>
    </xf>
    <xf numFmtId="0" fontId="91" fillId="50" borderId="78" xfId="2" applyNumberFormat="1" applyFont="1" applyFill="1" applyBorder="1" applyAlignment="1" applyProtection="1">
      <alignment horizontal="center" vertical="center" textRotation="90"/>
      <protection locked="0"/>
    </xf>
    <xf numFmtId="0" fontId="91" fillId="50" borderId="78" xfId="2" applyFont="1" applyFill="1" applyBorder="1" applyAlignment="1">
      <alignment horizontal="center" vertical="center" textRotation="90"/>
    </xf>
    <xf numFmtId="3" fontId="250" fillId="0" borderId="78" xfId="0" applyNumberFormat="1" applyFont="1" applyBorder="1" applyAlignment="1" applyProtection="1">
      <alignment horizontal="center" vertical="center"/>
      <protection hidden="1"/>
    </xf>
    <xf numFmtId="0" fontId="74" fillId="40" borderId="0" xfId="0" quotePrefix="1" applyFont="1" applyFill="1" applyAlignment="1" applyProtection="1">
      <alignment horizontal="left" vertical="top" wrapText="1" indent="1"/>
      <protection hidden="1"/>
    </xf>
    <xf numFmtId="0" fontId="77" fillId="0" borderId="0" xfId="0" applyFont="1" applyAlignment="1" applyProtection="1">
      <alignment horizontal="center" vertical="center" wrapText="1"/>
      <protection hidden="1"/>
    </xf>
    <xf numFmtId="0" fontId="9" fillId="0" borderId="0" xfId="0" applyFont="1" applyAlignment="1" applyProtection="1">
      <alignment horizontal="center"/>
      <protection locked="0"/>
    </xf>
    <xf numFmtId="0" fontId="7" fillId="39" borderId="66" xfId="0" applyFont="1" applyFill="1" applyBorder="1" applyAlignment="1" applyProtection="1">
      <alignment horizontal="left"/>
      <protection locked="0"/>
    </xf>
    <xf numFmtId="0" fontId="11" fillId="40" borderId="67" xfId="0" applyFont="1" applyFill="1" applyBorder="1" applyAlignment="1" applyProtection="1">
      <alignment horizontal="center"/>
      <protection locked="0"/>
    </xf>
    <xf numFmtId="0" fontId="11" fillId="40" borderId="68" xfId="0" applyFont="1" applyFill="1" applyBorder="1" applyAlignment="1" applyProtection="1">
      <alignment horizontal="center"/>
      <protection locked="0"/>
    </xf>
    <xf numFmtId="0" fontId="11" fillId="40" borderId="69" xfId="0" applyFont="1" applyFill="1" applyBorder="1" applyAlignment="1" applyProtection="1">
      <alignment horizontal="center"/>
      <protection locked="0"/>
    </xf>
    <xf numFmtId="0" fontId="16" fillId="40" borderId="0" xfId="0" quotePrefix="1" applyFont="1" applyFill="1" applyAlignment="1">
      <alignment horizontal="left" wrapText="1" indent="1"/>
    </xf>
    <xf numFmtId="0" fontId="8" fillId="45" borderId="85" xfId="0" applyFont="1" applyFill="1" applyBorder="1" applyAlignment="1">
      <alignment horizontal="center"/>
    </xf>
    <xf numFmtId="0" fontId="8" fillId="45" borderId="86" xfId="0" applyFont="1" applyFill="1" applyBorder="1" applyAlignment="1">
      <alignment horizontal="center"/>
    </xf>
    <xf numFmtId="0" fontId="8" fillId="45" borderId="87" xfId="0" applyFont="1" applyFill="1" applyBorder="1" applyAlignment="1">
      <alignment horizontal="center"/>
    </xf>
    <xf numFmtId="0" fontId="254" fillId="40" borderId="0" xfId="0" applyFont="1" applyFill="1" applyAlignment="1">
      <alignment horizontal="left" vertical="top" wrapText="1" indent="4"/>
    </xf>
    <xf numFmtId="0" fontId="256" fillId="40" borderId="0" xfId="0" applyFont="1" applyFill="1" applyAlignment="1">
      <alignment horizontal="left" vertical="top" wrapText="1" indent="2"/>
    </xf>
    <xf numFmtId="0" fontId="254" fillId="40" borderId="0" xfId="0" applyFont="1" applyFill="1" applyAlignment="1">
      <alignment horizontal="left" vertical="top" wrapText="1" indent="2"/>
    </xf>
    <xf numFmtId="0" fontId="8" fillId="45" borderId="1" xfId="0" applyFont="1" applyFill="1" applyBorder="1" applyAlignment="1">
      <alignment horizontal="center"/>
    </xf>
    <xf numFmtId="0" fontId="8" fillId="45" borderId="45" xfId="0" applyFont="1" applyFill="1" applyBorder="1" applyAlignment="1">
      <alignment horizontal="center"/>
    </xf>
    <xf numFmtId="0" fontId="8" fillId="45" borderId="46" xfId="0" applyFont="1" applyFill="1" applyBorder="1" applyAlignment="1">
      <alignment horizontal="center"/>
    </xf>
    <xf numFmtId="0" fontId="8" fillId="45" borderId="47" xfId="0" applyFont="1" applyFill="1" applyBorder="1" applyAlignment="1">
      <alignment horizontal="center"/>
    </xf>
    <xf numFmtId="0" fontId="146" fillId="0" borderId="0" xfId="0" applyFont="1" applyAlignment="1">
      <alignment horizontal="center" wrapText="1"/>
    </xf>
    <xf numFmtId="0" fontId="0" fillId="0" borderId="1" xfId="0" applyBorder="1" applyAlignment="1">
      <alignment horizontal="center" vertical="top" wrapText="1"/>
    </xf>
    <xf numFmtId="0" fontId="159" fillId="0" borderId="0" xfId="0" applyFont="1" applyAlignment="1">
      <alignment horizontal="center" vertical="center" wrapText="1"/>
    </xf>
    <xf numFmtId="0" fontId="68" fillId="48" borderId="167" xfId="0" applyFont="1" applyFill="1" applyBorder="1" applyAlignment="1" applyProtection="1">
      <alignment horizontal="center" vertical="center" wrapText="1"/>
      <protection hidden="1"/>
    </xf>
    <xf numFmtId="0" fontId="68" fillId="48" borderId="168" xfId="0" applyFont="1" applyFill="1" applyBorder="1" applyAlignment="1" applyProtection="1">
      <alignment horizontal="center" vertical="center" wrapText="1"/>
      <protection hidden="1"/>
    </xf>
    <xf numFmtId="0" fontId="8" fillId="40" borderId="0" xfId="0" applyFont="1" applyFill="1" applyAlignment="1" applyProtection="1">
      <alignment horizontal="center" vertical="center" textRotation="90"/>
      <protection hidden="1"/>
    </xf>
    <xf numFmtId="0" fontId="8" fillId="45" borderId="4" xfId="0" applyFont="1" applyFill="1" applyBorder="1" applyAlignment="1" applyProtection="1">
      <alignment horizontal="center"/>
      <protection hidden="1"/>
    </xf>
    <xf numFmtId="0" fontId="68" fillId="48" borderId="177" xfId="0" applyFont="1" applyFill="1" applyBorder="1" applyAlignment="1" applyProtection="1">
      <alignment horizontal="center" vertical="center" wrapText="1"/>
      <protection hidden="1"/>
    </xf>
    <xf numFmtId="0" fontId="68" fillId="48" borderId="178" xfId="0" applyFont="1" applyFill="1" applyBorder="1" applyAlignment="1" applyProtection="1">
      <alignment horizontal="center" vertical="center" wrapText="1"/>
      <protection hidden="1"/>
    </xf>
    <xf numFmtId="0" fontId="12" fillId="0" borderId="0" xfId="0" applyFont="1" applyAlignment="1" applyProtection="1">
      <alignment horizontal="left" vertical="center" wrapText="1"/>
      <protection hidden="1"/>
    </xf>
    <xf numFmtId="0" fontId="13" fillId="0" borderId="3" xfId="2" applyBorder="1" applyAlignment="1" applyProtection="1">
      <alignment horizontal="left" wrapText="1"/>
      <protection hidden="1"/>
    </xf>
    <xf numFmtId="0" fontId="8" fillId="0" borderId="0" xfId="0" applyFont="1" applyAlignment="1" applyProtection="1">
      <alignment horizontal="left" vertical="center" wrapText="1"/>
      <protection hidden="1"/>
    </xf>
    <xf numFmtId="0" fontId="68" fillId="48" borderId="162" xfId="0" applyFont="1" applyFill="1" applyBorder="1" applyAlignment="1" applyProtection="1">
      <alignment horizontal="center" vertical="center"/>
      <protection hidden="1"/>
    </xf>
    <xf numFmtId="0" fontId="68" fillId="48" borderId="163" xfId="0" applyFont="1" applyFill="1" applyBorder="1" applyAlignment="1" applyProtection="1">
      <alignment horizontal="center" vertical="center"/>
      <protection hidden="1"/>
    </xf>
    <xf numFmtId="0" fontId="68" fillId="48" borderId="164" xfId="0" applyFont="1" applyFill="1" applyBorder="1" applyAlignment="1" applyProtection="1">
      <alignment horizontal="center" vertical="center"/>
      <protection hidden="1"/>
    </xf>
    <xf numFmtId="0" fontId="68" fillId="48" borderId="162" xfId="0" applyFont="1" applyFill="1" applyBorder="1" applyAlignment="1" applyProtection="1">
      <alignment horizontal="center" vertical="center" wrapText="1"/>
      <protection hidden="1"/>
    </xf>
    <xf numFmtId="0" fontId="68" fillId="48" borderId="163" xfId="0" applyFont="1" applyFill="1" applyBorder="1" applyAlignment="1" applyProtection="1">
      <alignment horizontal="center" vertical="center" wrapText="1"/>
      <protection hidden="1"/>
    </xf>
    <xf numFmtId="0" fontId="68" fillId="48" borderId="164" xfId="0" applyFont="1" applyFill="1" applyBorder="1" applyAlignment="1" applyProtection="1">
      <alignment horizontal="center" vertical="center" wrapText="1"/>
      <protection hidden="1"/>
    </xf>
    <xf numFmtId="0" fontId="242" fillId="0" borderId="0" xfId="0" applyFont="1" applyAlignment="1" applyProtection="1">
      <alignment horizontal="left" wrapText="1"/>
      <protection hidden="1"/>
    </xf>
    <xf numFmtId="0" fontId="132" fillId="4" borderId="146" xfId="0" applyFont="1" applyFill="1" applyBorder="1" applyAlignment="1" applyProtection="1">
      <alignment horizontal="center" vertical="center" textRotation="90"/>
      <protection hidden="1"/>
    </xf>
    <xf numFmtId="0" fontId="132" fillId="4" borderId="148" xfId="0" applyFont="1" applyFill="1" applyBorder="1" applyAlignment="1" applyProtection="1">
      <alignment horizontal="center" vertical="center" textRotation="90"/>
      <protection hidden="1"/>
    </xf>
    <xf numFmtId="0" fontId="132" fillId="4" borderId="150" xfId="0" applyFont="1" applyFill="1" applyBorder="1" applyAlignment="1" applyProtection="1">
      <alignment horizontal="center" vertical="center" textRotation="90"/>
      <protection hidden="1"/>
    </xf>
    <xf numFmtId="0" fontId="132" fillId="4" borderId="146" xfId="0" applyFont="1" applyFill="1" applyBorder="1" applyAlignment="1" applyProtection="1">
      <alignment horizontal="center" vertical="center" textRotation="90" wrapText="1"/>
      <protection hidden="1"/>
    </xf>
    <xf numFmtId="0" fontId="132" fillId="4" borderId="148" xfId="0" applyFont="1" applyFill="1" applyBorder="1" applyAlignment="1" applyProtection="1">
      <alignment horizontal="center" vertical="center" textRotation="90" wrapText="1"/>
      <protection hidden="1"/>
    </xf>
    <xf numFmtId="0" fontId="132" fillId="4" borderId="150" xfId="0" applyFont="1" applyFill="1" applyBorder="1" applyAlignment="1" applyProtection="1">
      <alignment horizontal="center" vertical="center" textRotation="90" wrapText="1"/>
      <protection hidden="1"/>
    </xf>
    <xf numFmtId="0" fontId="132" fillId="4" borderId="143" xfId="0" applyFont="1" applyFill="1" applyBorder="1" applyAlignment="1" applyProtection="1">
      <alignment horizontal="left" wrapText="1"/>
      <protection hidden="1"/>
    </xf>
    <xf numFmtId="0" fontId="132" fillId="4" borderId="144" xfId="0" applyFont="1" applyFill="1" applyBorder="1" applyAlignment="1" applyProtection="1">
      <alignment horizontal="left" wrapText="1"/>
      <protection hidden="1"/>
    </xf>
    <xf numFmtId="0" fontId="132" fillId="4" borderId="145" xfId="0" applyFont="1" applyFill="1" applyBorder="1" applyAlignment="1" applyProtection="1">
      <alignment horizontal="left" wrapText="1"/>
      <protection hidden="1"/>
    </xf>
    <xf numFmtId="0" fontId="215" fillId="0" borderId="0" xfId="0" applyFont="1" applyAlignment="1" applyProtection="1">
      <alignment horizontal="left" wrapText="1"/>
      <protection hidden="1"/>
    </xf>
    <xf numFmtId="0" fontId="132" fillId="37" borderId="0" xfId="0" applyFont="1" applyFill="1" applyAlignment="1" applyProtection="1">
      <alignment horizontal="left" wrapText="1"/>
      <protection hidden="1"/>
    </xf>
    <xf numFmtId="0" fontId="132" fillId="4" borderId="146" xfId="62" applyFont="1" applyFill="1" applyBorder="1" applyAlignment="1" applyProtection="1">
      <alignment horizontal="center" vertical="center" textRotation="90" wrapText="1"/>
      <protection hidden="1"/>
    </xf>
    <xf numFmtId="0" fontId="132" fillId="4" borderId="150" xfId="62" applyFont="1" applyFill="1" applyBorder="1" applyAlignment="1" applyProtection="1">
      <alignment horizontal="center" vertical="center" textRotation="90" wrapText="1"/>
      <protection hidden="1"/>
    </xf>
    <xf numFmtId="0" fontId="133" fillId="4" borderId="143" xfId="62" applyFont="1" applyFill="1" applyBorder="1" applyAlignment="1" applyProtection="1">
      <alignment horizontal="left" wrapText="1"/>
      <protection hidden="1"/>
    </xf>
    <xf numFmtId="0" fontId="133" fillId="4" borderId="144" xfId="62" applyFont="1" applyFill="1" applyBorder="1" applyAlignment="1" applyProtection="1">
      <alignment horizontal="left" wrapText="1"/>
      <protection hidden="1"/>
    </xf>
    <xf numFmtId="0" fontId="133" fillId="4" borderId="145" xfId="62" applyFont="1" applyFill="1" applyBorder="1" applyAlignment="1" applyProtection="1">
      <alignment horizontal="left" wrapText="1"/>
      <protection hidden="1"/>
    </xf>
    <xf numFmtId="0" fontId="229" fillId="4" borderId="0" xfId="62" applyFont="1" applyFill="1" applyAlignment="1" applyProtection="1">
      <alignment horizontal="center" vertical="center" wrapText="1"/>
      <protection hidden="1"/>
    </xf>
    <xf numFmtId="0" fontId="132" fillId="4" borderId="148" xfId="62" applyFont="1" applyFill="1" applyBorder="1" applyAlignment="1" applyProtection="1">
      <alignment horizontal="center" vertical="center" textRotation="90" wrapText="1"/>
      <protection hidden="1"/>
    </xf>
  </cellXfs>
  <cellStyles count="75">
    <cellStyle name="20% - Accent1" xfId="20" builtinId="30" customBuiltin="1"/>
    <cellStyle name="20% - Accent2" xfId="23" builtinId="34" customBuiltin="1"/>
    <cellStyle name="20% - Accent3" xfId="26" builtinId="38" customBuiltin="1"/>
    <cellStyle name="20% - Accent4" xfId="29" builtinId="42" customBuiltin="1"/>
    <cellStyle name="20% - Accent5" xfId="32" builtinId="46" customBuiltin="1"/>
    <cellStyle name="20% - Accent6" xfId="35" builtinId="50" customBuiltin="1"/>
    <cellStyle name="40% - Accent1" xfId="21" builtinId="31" customBuiltin="1"/>
    <cellStyle name="40% - Accent2" xfId="24" builtinId="35" customBuiltin="1"/>
    <cellStyle name="40% - Accent3" xfId="27" builtinId="39" customBuiltin="1"/>
    <cellStyle name="40% - Accent4" xfId="30" builtinId="43" customBuiltin="1"/>
    <cellStyle name="40% - Accent5" xfId="33" builtinId="47" customBuiltin="1"/>
    <cellStyle name="40% - Accent6" xfId="36" builtinId="51" customBuiltin="1"/>
    <cellStyle name="60% - Accent1 2" xfId="40" xr:uid="{00000000-0005-0000-0000-00000C000000}"/>
    <cellStyle name="60% - Accent2 2" xfId="41" xr:uid="{00000000-0005-0000-0000-00000D000000}"/>
    <cellStyle name="60% - Accent3 2" xfId="42" xr:uid="{00000000-0005-0000-0000-00000E000000}"/>
    <cellStyle name="60% - Accent4 2" xfId="43" xr:uid="{00000000-0005-0000-0000-00000F000000}"/>
    <cellStyle name="60% - Accent5 2" xfId="44" xr:uid="{00000000-0005-0000-0000-000010000000}"/>
    <cellStyle name="60% - Accent6 2" xfId="45" xr:uid="{00000000-0005-0000-0000-000011000000}"/>
    <cellStyle name="Accent1" xfId="19" builtinId="29" customBuiltin="1"/>
    <cellStyle name="Accent2" xfId="22" builtinId="33" customBuiltin="1"/>
    <cellStyle name="Accent3" xfId="25" builtinId="37" customBuiltin="1"/>
    <cellStyle name="Accent4" xfId="28" builtinId="41" customBuiltin="1"/>
    <cellStyle name="Accent5" xfId="31" builtinId="45" customBuiltin="1"/>
    <cellStyle name="Accent6" xfId="34" builtinId="49" customBuiltin="1"/>
    <cellStyle name="Bad" xfId="9" builtinId="27" customBuiltin="1"/>
    <cellStyle name="Body: normal cell" xfId="38" xr:uid="{00000000-0005-0000-0000-000019000000}"/>
    <cellStyle name="Calculation" xfId="12" builtinId="22" customBuiltin="1"/>
    <cellStyle name="Check Cell" xfId="14" builtinId="23" customBuiltin="1"/>
    <cellStyle name="Comma" xfId="68" builtinId="3"/>
    <cellStyle name="Comma 2" xfId="64" xr:uid="{00000000-0005-0000-0000-00001D000000}"/>
    <cellStyle name="Comma 3" xfId="72" xr:uid="{FC6F6355-3797-48DC-B6AB-205D4E1E66AC}"/>
    <cellStyle name="Currency" xfId="69" builtinId="4"/>
    <cellStyle name="Explanatory Text" xfId="17" builtinId="53" customBuiltin="1"/>
    <cellStyle name="Followed Hyperlink 2" xfId="46" xr:uid="{00000000-0005-0000-0000-000020000000}"/>
    <cellStyle name="Font: Calibri, 9pt regular" xfId="47" xr:uid="{00000000-0005-0000-0000-000021000000}"/>
    <cellStyle name="Footnotes: all except top row" xfId="48" xr:uid="{00000000-0005-0000-0000-000022000000}"/>
    <cellStyle name="Footnotes: top row" xfId="49" xr:uid="{00000000-0005-0000-0000-000023000000}"/>
    <cellStyle name="Good" xfId="8" builtinId="26" customBuiltin="1"/>
    <cellStyle name="Header: bottom row" xfId="50" xr:uid="{00000000-0005-0000-0000-000025000000}"/>
    <cellStyle name="Header: top rows" xfId="51" xr:uid="{00000000-0005-0000-0000-000026000000}"/>
    <cellStyle name="Heading 1" xfId="4" builtinId="16" customBuiltin="1"/>
    <cellStyle name="Heading 2" xfId="5" builtinId="17" customBuiltin="1"/>
    <cellStyle name="Heading 3" xfId="6" builtinId="18" customBuiltin="1"/>
    <cellStyle name="Heading 4" xfId="7" builtinId="19" customBuiltin="1"/>
    <cellStyle name="Hyperlink" xfId="2" builtinId="8"/>
    <cellStyle name="Hyperlink 2" xfId="52" xr:uid="{00000000-0005-0000-0000-00002C000000}"/>
    <cellStyle name="Hyperlink 3" xfId="63" xr:uid="{00000000-0005-0000-0000-00002D000000}"/>
    <cellStyle name="Hyperlink 4" xfId="65" xr:uid="{00000000-0005-0000-0000-00002E000000}"/>
    <cellStyle name="Hyperlink 5" xfId="74" xr:uid="{3433A558-608D-45BF-8F17-6B6EA99BE0E3}"/>
    <cellStyle name="Input" xfId="10" builtinId="20" customBuiltin="1"/>
    <cellStyle name="Linked Cell" xfId="13" builtinId="24" customBuiltin="1"/>
    <cellStyle name="Neutral 2" xfId="53" xr:uid="{00000000-0005-0000-0000-000031000000}"/>
    <cellStyle name="Normal" xfId="0" builtinId="0"/>
    <cellStyle name="Normal 128" xfId="37" xr:uid="{00000000-0005-0000-0000-000033000000}"/>
    <cellStyle name="Normal 2" xfId="54" xr:uid="{00000000-0005-0000-0000-000034000000}"/>
    <cellStyle name="Normal 2 2" xfId="3" xr:uid="{00000000-0005-0000-0000-000035000000}"/>
    <cellStyle name="Normal 2 2 63" xfId="70" xr:uid="{DFD31DE5-DE02-424D-A373-108A6A08C6B9}"/>
    <cellStyle name="Normal 2 3" xfId="59" xr:uid="{00000000-0005-0000-0000-000036000000}"/>
    <cellStyle name="Normal 3" xfId="60" xr:uid="{00000000-0005-0000-0000-000037000000}"/>
    <cellStyle name="Normal 3 2" xfId="61" xr:uid="{00000000-0005-0000-0000-000038000000}"/>
    <cellStyle name="Normal 3 3" xfId="66" xr:uid="{00000000-0005-0000-0000-000039000000}"/>
    <cellStyle name="Normal 4" xfId="62" xr:uid="{00000000-0005-0000-0000-00003A000000}"/>
    <cellStyle name="Normal 4 2" xfId="67" xr:uid="{00000000-0005-0000-0000-00003B000000}"/>
    <cellStyle name="Normal 5" xfId="71" xr:uid="{98BF0B6E-A527-44E3-93E3-DA95B3A00BB1}"/>
    <cellStyle name="Normal 6" xfId="73" xr:uid="{70A04BA1-40F8-45BB-8494-828BA473CC39}"/>
    <cellStyle name="Note" xfId="16" builtinId="10" customBuiltin="1"/>
    <cellStyle name="Output" xfId="11" builtinId="21" customBuiltin="1"/>
    <cellStyle name="Parent row" xfId="55" xr:uid="{00000000-0005-0000-0000-00003E000000}"/>
    <cellStyle name="Percent" xfId="1" builtinId="5"/>
    <cellStyle name="Section Break" xfId="56" xr:uid="{00000000-0005-0000-0000-000040000000}"/>
    <cellStyle name="Section Break: parent row" xfId="57" xr:uid="{00000000-0005-0000-0000-000041000000}"/>
    <cellStyle name="Table title" xfId="39" xr:uid="{00000000-0005-0000-0000-000042000000}"/>
    <cellStyle name="Title 2" xfId="58" xr:uid="{00000000-0005-0000-0000-000043000000}"/>
    <cellStyle name="Total" xfId="18" builtinId="25" customBuiltin="1"/>
    <cellStyle name="Warning Text" xfId="15" builtinId="11" customBuiltin="1"/>
  </cellStyles>
  <dxfs count="139">
    <dxf>
      <font>
        <color rgb="FF9C0006"/>
      </font>
      <fill>
        <patternFill>
          <bgColor rgb="FFFFC7CE"/>
        </patternFill>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darkUp"/>
      </fill>
    </dxf>
    <dxf>
      <font>
        <color rgb="FF9C5700"/>
      </font>
      <fill>
        <patternFill>
          <bgColor rgb="FFFFEB9C"/>
        </patternFill>
      </fill>
    </dxf>
    <dxf>
      <font>
        <color rgb="FF9C5700"/>
      </font>
      <fill>
        <patternFill>
          <bgColor rgb="FFFFEB9C"/>
        </patternFill>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border diagonalUp="0" diagonalDown="0">
        <left style="thin">
          <color indexed="64"/>
        </left>
        <right style="thin">
          <color indexed="64"/>
        </right>
        <top style="thin">
          <color indexed="64"/>
        </top>
        <bottom style="thin">
          <color indexed="64"/>
        </bottom>
        <vertical/>
        <horizontal/>
      </border>
      <protection locked="1" hidden="1"/>
    </dxf>
    <dxf>
      <border outline="0">
        <bottom style="thin">
          <color indexed="64"/>
        </bottom>
      </border>
    </dxf>
    <dxf>
      <protection locked="1" hidden="1"/>
    </dxf>
    <dxf>
      <protection locked="1" hidden="1"/>
    </dxf>
    <dxf>
      <font>
        <b val="0"/>
        <i val="0"/>
        <strike val="0"/>
        <condense val="0"/>
        <extend val="0"/>
        <outline val="0"/>
        <shadow val="0"/>
        <u val="none"/>
        <vertAlign val="baseline"/>
        <sz val="11"/>
        <color theme="1"/>
        <name val="Arial"/>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protection locked="1" hidden="1"/>
    </dxf>
    <dxf>
      <border outline="0">
        <left style="thin">
          <color indexed="64"/>
        </left>
        <top style="thin">
          <color auto="1"/>
        </top>
        <bottom style="thin">
          <color indexed="64"/>
        </bottom>
      </border>
    </dxf>
    <dxf>
      <font>
        <b val="0"/>
        <i val="0"/>
        <strike val="0"/>
        <condense val="0"/>
        <extend val="0"/>
        <outline val="0"/>
        <shadow val="0"/>
        <u val="none"/>
        <vertAlign val="baseline"/>
        <sz val="11"/>
        <color theme="1"/>
        <name val="Arial"/>
        <family val="2"/>
        <scheme val="minor"/>
      </font>
      <fill>
        <patternFill patternType="solid">
          <fgColor theme="4" tint="0.79998168889431442"/>
          <bgColor theme="4" tint="0.79998168889431442"/>
        </patternFill>
      </fill>
      <protection locked="1" hidden="1"/>
    </dxf>
    <dxf>
      <font>
        <b/>
        <i val="0"/>
        <strike val="0"/>
        <condense val="0"/>
        <extend val="0"/>
        <outline val="0"/>
        <shadow val="0"/>
        <u val="none"/>
        <vertAlign val="baseline"/>
        <sz val="11"/>
        <color theme="0"/>
        <name val="Arial"/>
        <family val="2"/>
        <scheme val="minor"/>
      </font>
      <fill>
        <patternFill patternType="solid">
          <fgColor theme="4"/>
          <bgColor theme="4"/>
        </patternFill>
      </fill>
      <protection locked="1" hidden="1"/>
    </dxf>
    <dxf>
      <protection locked="1" hidden="1"/>
    </dxf>
    <dxf>
      <border outline="0">
        <top style="thin">
          <color auto="1"/>
        </top>
      </border>
    </dxf>
    <dxf>
      <border outline="0">
        <left style="thin">
          <color indexed="64"/>
        </left>
        <right style="thin">
          <color indexed="64"/>
        </right>
        <top style="thin">
          <color indexed="64"/>
        </top>
        <bottom style="thin">
          <color indexed="64"/>
        </bottom>
      </border>
    </dxf>
    <dxf>
      <protection locked="1" hidden="1"/>
    </dxf>
    <dxf>
      <border outline="0">
        <bottom style="thin">
          <color indexed="64"/>
        </bottom>
      </border>
    </dxf>
    <dxf>
      <protection locked="1" hidden="1"/>
    </dxf>
    <dxf>
      <border diagonalUp="0" diagonalDown="0">
        <left/>
        <right/>
        <top style="thin">
          <color indexed="64"/>
        </top>
        <bottom style="thin">
          <color indexed="64"/>
        </bottom>
        <vertical/>
        <horizontal/>
      </border>
      <protection locked="1" hidden="1"/>
    </dxf>
    <dxf>
      <border outline="0">
        <top style="thin">
          <color auto="1"/>
        </top>
      </border>
    </dxf>
    <dxf>
      <border outline="0">
        <left style="thin">
          <color indexed="64"/>
        </left>
        <right style="thin">
          <color indexed="64"/>
        </right>
        <top style="thin">
          <color indexed="64"/>
        </top>
        <bottom style="thin">
          <color indexed="64"/>
        </bottom>
      </border>
    </dxf>
    <dxf>
      <protection locked="1" hidden="1"/>
    </dxf>
    <dxf>
      <border outline="0">
        <bottom style="thin">
          <color indexed="64"/>
        </bottom>
      </border>
    </dxf>
    <dxf>
      <protection locked="1" hidden="1"/>
    </dxf>
    <dxf>
      <border diagonalUp="0" diagonalDown="0">
        <left/>
        <right/>
        <top style="thin">
          <color indexed="64"/>
        </top>
        <bottom style="thin">
          <color indexed="64"/>
        </bottom>
        <vertical/>
        <horizontal/>
      </border>
      <protection locked="1" hidden="1"/>
    </dxf>
    <dxf>
      <border outline="0">
        <top style="thin">
          <color auto="1"/>
        </top>
      </border>
    </dxf>
    <dxf>
      <border outline="0">
        <left style="thin">
          <color indexed="64"/>
        </left>
        <right style="thin">
          <color indexed="64"/>
        </right>
        <top style="thin">
          <color indexed="64"/>
        </top>
        <bottom style="thin">
          <color indexed="64"/>
        </bottom>
      </border>
    </dxf>
    <dxf>
      <protection locked="1" hidden="1"/>
    </dxf>
    <dxf>
      <border outline="0">
        <bottom style="thin">
          <color indexed="64"/>
        </bottom>
      </border>
    </dxf>
    <dxf>
      <protection locked="1" hidden="1"/>
    </dxf>
    <dxf>
      <border diagonalUp="0" diagonalDown="0">
        <left/>
        <right/>
        <top style="thin">
          <color indexed="64"/>
        </top>
        <bottom style="thin">
          <color indexed="64"/>
        </bottom>
        <vertical/>
        <horizontal/>
      </border>
      <protection locked="1" hidden="1"/>
    </dxf>
    <dxf>
      <border outline="0">
        <top style="thin">
          <color auto="1"/>
        </top>
      </border>
    </dxf>
    <dxf>
      <border outline="0">
        <left style="thin">
          <color indexed="64"/>
        </left>
        <right style="thin">
          <color indexed="64"/>
        </right>
        <top style="thin">
          <color indexed="64"/>
        </top>
        <bottom style="thin">
          <color indexed="64"/>
        </bottom>
      </border>
    </dxf>
    <dxf>
      <protection locked="1" hidden="1"/>
    </dxf>
    <dxf>
      <border outline="0">
        <bottom style="thin">
          <color indexed="64"/>
        </bottom>
      </border>
    </dxf>
    <dxf>
      <protection locked="1" hidden="1"/>
    </dxf>
    <dxf>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border outline="0">
        <bottom style="thin">
          <color indexed="64"/>
        </bottom>
      </border>
    </dxf>
    <dxf>
      <alignment horizontal="general" vertical="bottom" textRotation="0" wrapText="1" indent="0" justifyLastLine="0" shrinkToFit="0" readingOrder="0"/>
      <protection locked="1" hidden="1"/>
    </dxf>
    <dxf>
      <protection locked="1" hidden="1"/>
    </dxf>
    <dxf>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border outline="0">
        <bottom style="thin">
          <color indexed="64"/>
        </bottom>
      </border>
    </dxf>
    <dxf>
      <alignment horizontal="general" vertical="bottom" textRotation="0" wrapText="1" indent="0" justifyLastLine="0" shrinkToFit="0" readingOrder="0"/>
      <protection locked="1" hidden="1"/>
    </dxf>
    <dxf>
      <protection locked="1" hidden="1"/>
    </dxf>
    <dxf>
      <alignment horizontal="general" vertical="bottom" textRotation="0" wrapText="1" indent="0" justifyLastLine="0" shrinkToFit="0" readingOrder="0"/>
      <border diagonalUp="0" diagonalDown="0">
        <left style="thin">
          <color indexed="64"/>
        </left>
        <right style="thin">
          <color indexed="64"/>
        </right>
        <top style="thin">
          <color indexed="64"/>
        </top>
        <bottom/>
        <vertical/>
        <horizontal/>
      </border>
      <protection locked="1" hidden="1"/>
    </dxf>
    <dxf>
      <border outline="0">
        <bottom style="thin">
          <color indexed="64"/>
        </bottom>
      </border>
    </dxf>
    <dxf>
      <alignment horizontal="general" vertical="bottom" textRotation="0" wrapText="1" indent="0" justifyLastLine="0" shrinkToFit="0" readingOrder="0"/>
      <protection locked="1" hidden="1"/>
    </dxf>
    <dxf>
      <protection locked="1" hidden="1"/>
    </dxf>
    <dxf>
      <protection locked="1" hidden="1"/>
    </dxf>
    <dxf>
      <border outline="0">
        <top style="thin">
          <color auto="1"/>
        </top>
        <bottom style="thin">
          <color theme="4" tint="0.39997558519241921"/>
        </bottom>
      </border>
    </dxf>
    <dxf>
      <protection locked="1" hidden="1"/>
    </dxf>
    <dxf>
      <font>
        <b/>
        <i val="0"/>
        <strike val="0"/>
        <condense val="0"/>
        <extend val="0"/>
        <outline val="0"/>
        <shadow val="0"/>
        <u val="none"/>
        <vertAlign val="baseline"/>
        <sz val="10"/>
        <color auto="1"/>
        <name val="Arial"/>
        <scheme val="none"/>
      </font>
      <numFmt numFmtId="173" formatCode="General_)"/>
      <fill>
        <patternFill patternType="solid">
          <fgColor theme="4"/>
          <bgColor theme="4"/>
        </patternFill>
      </fill>
      <protection locked="1" hidden="1"/>
    </dxf>
    <dxf>
      <protection locked="1" hidden="1"/>
    </dxf>
    <dxf>
      <border outline="0">
        <top style="thin">
          <color auto="1"/>
        </top>
        <bottom style="thin">
          <color theme="4" tint="0.39997558519241921"/>
        </bottom>
      </border>
    </dxf>
    <dxf>
      <protection locked="1" hidden="1"/>
    </dxf>
    <dxf>
      <font>
        <b/>
        <i val="0"/>
        <strike val="0"/>
        <condense val="0"/>
        <extend val="0"/>
        <outline val="0"/>
        <shadow val="0"/>
        <u val="none"/>
        <vertAlign val="baseline"/>
        <sz val="10"/>
        <color auto="1"/>
        <name val="Arial"/>
        <scheme val="none"/>
      </font>
      <numFmt numFmtId="173" formatCode="General_)"/>
      <fill>
        <patternFill patternType="solid">
          <fgColor theme="4"/>
          <bgColor theme="4"/>
        </patternFill>
      </fill>
      <protection locked="1" hidden="1"/>
    </dxf>
    <dxf>
      <protection locked="1" hidden="1"/>
    </dxf>
    <dxf>
      <border outline="0">
        <top style="thin">
          <color auto="1"/>
        </top>
        <bottom style="thin">
          <color theme="4" tint="0.39997558519241921"/>
        </bottom>
      </border>
    </dxf>
    <dxf>
      <protection locked="1" hidden="1"/>
    </dxf>
    <dxf>
      <font>
        <b/>
        <i val="0"/>
        <strike val="0"/>
        <condense val="0"/>
        <extend val="0"/>
        <outline val="0"/>
        <shadow val="0"/>
        <u val="none"/>
        <vertAlign val="baseline"/>
        <sz val="10"/>
        <color auto="1"/>
        <name val="Arial"/>
        <scheme val="none"/>
      </font>
      <numFmt numFmtId="173" formatCode="General_)"/>
      <fill>
        <patternFill patternType="solid">
          <fgColor theme="4"/>
          <bgColor theme="4"/>
        </patternFill>
      </fill>
      <protection locked="1" hidden="1"/>
    </dxf>
    <dxf>
      <protection locked="1" hidden="1"/>
    </dxf>
    <dxf>
      <border outline="0">
        <top style="thin">
          <color auto="1"/>
        </top>
        <bottom style="thin">
          <color theme="4" tint="0.39997558519241921"/>
        </bottom>
      </border>
    </dxf>
    <dxf>
      <protection locked="1" hidden="1"/>
    </dxf>
    <dxf>
      <font>
        <b/>
        <i val="0"/>
        <strike val="0"/>
        <condense val="0"/>
        <extend val="0"/>
        <outline val="0"/>
        <shadow val="0"/>
        <u val="none"/>
        <vertAlign val="baseline"/>
        <sz val="10"/>
        <color auto="1"/>
        <name val="Arial"/>
        <scheme val="none"/>
      </font>
      <numFmt numFmtId="173" formatCode="General_)"/>
      <fill>
        <patternFill patternType="solid">
          <fgColor theme="4"/>
          <bgColor theme="4"/>
        </patternFill>
      </fill>
      <protection locked="1" hidden="1"/>
    </dxf>
    <dxf>
      <protection locked="1" hidden="1"/>
    </dxf>
    <dxf>
      <border outline="0">
        <top style="thin">
          <color auto="1"/>
        </top>
        <bottom style="thin">
          <color theme="4" tint="0.39997558519241921"/>
        </bottom>
      </border>
    </dxf>
    <dxf>
      <protection locked="1" hidden="1"/>
    </dxf>
    <dxf>
      <font>
        <b/>
        <i val="0"/>
        <strike val="0"/>
        <condense val="0"/>
        <extend val="0"/>
        <outline val="0"/>
        <shadow val="0"/>
        <u val="none"/>
        <vertAlign val="baseline"/>
        <sz val="10"/>
        <color auto="1"/>
        <name val="Arial"/>
        <scheme val="none"/>
      </font>
      <numFmt numFmtId="173" formatCode="General_)"/>
      <fill>
        <patternFill patternType="solid">
          <fgColor theme="4"/>
          <bgColor theme="4"/>
        </patternFill>
      </fill>
      <protection locked="1" hidden="1"/>
    </dxf>
    <dxf>
      <protection locked="1" hidden="1"/>
    </dxf>
    <dxf>
      <border outline="0">
        <top style="thin">
          <color auto="1"/>
        </top>
        <bottom style="thin">
          <color theme="4" tint="0.39997558519241921"/>
        </bottom>
      </border>
    </dxf>
    <dxf>
      <protection locked="1" hidden="1"/>
    </dxf>
    <dxf>
      <font>
        <b/>
        <i val="0"/>
        <strike val="0"/>
        <condense val="0"/>
        <extend val="0"/>
        <outline val="0"/>
        <shadow val="0"/>
        <u val="none"/>
        <vertAlign val="baseline"/>
        <sz val="10"/>
        <color auto="1"/>
        <name val="Arial"/>
        <scheme val="none"/>
      </font>
      <numFmt numFmtId="173" formatCode="General_)"/>
      <fill>
        <patternFill patternType="solid">
          <fgColor theme="4"/>
          <bgColor theme="4"/>
        </patternFill>
      </fill>
      <protection locked="1" hidden="1"/>
    </dxf>
    <dxf>
      <protection locked="1" hidden="1"/>
    </dxf>
    <dxf>
      <border outline="0">
        <top style="thin">
          <color auto="1"/>
        </top>
        <bottom style="thin">
          <color theme="4" tint="0.39997558519241921"/>
        </bottom>
      </border>
    </dxf>
    <dxf>
      <protection locked="1" hidden="1"/>
    </dxf>
    <dxf>
      <font>
        <b/>
        <i val="0"/>
        <strike val="0"/>
        <condense val="0"/>
        <extend val="0"/>
        <outline val="0"/>
        <shadow val="0"/>
        <u val="none"/>
        <vertAlign val="baseline"/>
        <sz val="10"/>
        <color auto="1"/>
        <name val="Arial"/>
        <scheme val="none"/>
      </font>
      <numFmt numFmtId="173" formatCode="General_)"/>
      <fill>
        <patternFill patternType="solid">
          <fgColor theme="4"/>
          <bgColor theme="4"/>
        </patternFill>
      </fill>
      <protection locked="1" hidden="1"/>
    </dxf>
    <dxf>
      <protection locked="1" hidden="1"/>
    </dxf>
    <dxf>
      <border outline="0">
        <top style="thin">
          <color auto="1"/>
        </top>
        <bottom style="thin">
          <color theme="4" tint="0.39997558519241921"/>
        </bottom>
      </border>
    </dxf>
    <dxf>
      <protection locked="1" hidden="1"/>
    </dxf>
    <dxf>
      <font>
        <b/>
        <i val="0"/>
        <strike val="0"/>
        <condense val="0"/>
        <extend val="0"/>
        <outline val="0"/>
        <shadow val="0"/>
        <u val="none"/>
        <vertAlign val="baseline"/>
        <sz val="10"/>
        <color auto="1"/>
        <name val="Arial"/>
        <scheme val="none"/>
      </font>
      <numFmt numFmtId="173" formatCode="General_)"/>
      <fill>
        <patternFill patternType="solid">
          <fgColor theme="4"/>
          <bgColor theme="4"/>
        </patternFill>
      </fill>
      <protection locked="1" hidden="1"/>
    </dxf>
    <dxf>
      <numFmt numFmtId="175" formatCode="_(* #,##0.0000_);_(* \(#,##0.0000\);_(* &quot;-&quot;??_);_(@_)"/>
      <alignment horizontal="left" vertical="center" textRotation="0" indent="0" justifyLastLine="0" shrinkToFit="0" readingOrder="0"/>
      <protection locked="1" hidden="1"/>
    </dxf>
    <dxf>
      <numFmt numFmtId="175" formatCode="_(* #,##0.0000_);_(* \(#,##0.0000\);_(* &quot;-&quot;??_);_(@_)"/>
      <alignment horizontal="left" vertical="center" textRotation="0" indent="0" justifyLastLine="0" shrinkToFit="0" readingOrder="0"/>
      <protection locked="1" hidden="1"/>
    </dxf>
    <dxf>
      <numFmt numFmtId="175" formatCode="_(* #,##0.0000_);_(* \(#,##0.0000\);_(* &quot;-&quot;??_);_(@_)"/>
      <alignment horizontal="left" vertical="center" textRotation="0" indent="0" justifyLastLine="0" shrinkToFit="0" readingOrder="0"/>
      <protection locked="1" hidden="1"/>
    </dxf>
    <dxf>
      <alignment horizontal="left" vertical="center" textRotation="0" wrapText="1" indent="0" justifyLastLine="0" shrinkToFit="0" readingOrder="0"/>
      <protection locked="1" hidden="1"/>
    </dxf>
    <dxf>
      <alignment horizontal="left" vertical="center" textRotation="0" wrapText="1" indent="0" justifyLastLine="0" shrinkToFit="0" readingOrder="0"/>
      <protection locked="1" hidden="1"/>
    </dxf>
    <dxf>
      <alignment horizontal="left" vertical="center" textRotation="0" wrapText="1" indent="0" justifyLastLine="0" shrinkToFit="0" readingOrder="0"/>
      <border diagonalUp="0" diagonalDown="0">
        <left style="hair">
          <color indexed="64"/>
        </left>
        <right style="hair">
          <color indexed="64"/>
        </right>
        <top style="hair">
          <color indexed="64"/>
        </top>
        <bottom style="hair">
          <color indexed="64"/>
        </bottom>
        <vertical style="hair">
          <color indexed="64"/>
        </vertical>
        <horizontal style="hair">
          <color indexed="64"/>
        </horizontal>
      </border>
      <protection locked="1" hidden="1"/>
    </dxf>
    <dxf>
      <alignment horizontal="left" vertical="center" textRotation="0" wrapText="1" indent="0" justifyLastLine="0" shrinkToFit="0" readingOrder="0"/>
      <border diagonalUp="0" diagonalDown="0" outline="0">
        <left style="hair">
          <color indexed="64"/>
        </left>
        <right style="hair">
          <color indexed="64"/>
        </right>
        <top style="hair">
          <color indexed="64"/>
        </top>
        <bottom style="hair">
          <color indexed="64"/>
        </bottom>
      </border>
      <protection locked="1" hidden="1"/>
    </dxf>
    <dxf>
      <font>
        <b val="0"/>
        <i val="0"/>
        <strike val="0"/>
        <condense val="0"/>
        <extend val="0"/>
        <outline val="0"/>
        <shadow val="0"/>
        <u val="none"/>
        <vertAlign val="baseline"/>
        <sz val="12"/>
        <color theme="1"/>
        <name val="Arial"/>
        <family val="2"/>
        <scheme val="minor"/>
      </font>
      <numFmt numFmtId="13" formatCode="0%"/>
      <alignment horizontal="center" vertical="center" textRotation="0" wrapText="0" indent="0" justifyLastLine="0" shrinkToFit="0" readingOrder="0"/>
      <border diagonalUp="0" diagonalDown="0">
        <left style="hair">
          <color indexed="64"/>
        </left>
        <right style="hair">
          <color indexed="64"/>
        </right>
        <top style="hair">
          <color indexed="64"/>
        </top>
        <bottom style="hair">
          <color indexed="64"/>
        </bottom>
      </border>
      <protection locked="1" hidden="1"/>
    </dxf>
    <dxf>
      <font>
        <strike val="0"/>
        <outline val="0"/>
        <shadow val="0"/>
        <u val="none"/>
        <vertAlign val="baseline"/>
        <sz val="12"/>
        <name val="Arial"/>
        <family val="2"/>
        <scheme val="minor"/>
      </font>
      <numFmt numFmtId="174" formatCode="#,##0.0000_);\(#,##0.0000\)"/>
      <alignment horizontal="center" vertical="center" textRotation="0" wrapText="0" indent="0" justifyLastLine="0" shrinkToFit="0" readingOrder="0"/>
      <border diagonalUp="0" diagonalDown="0" outline="0">
        <left style="hair">
          <color indexed="64"/>
        </left>
        <right style="hair">
          <color indexed="64"/>
        </right>
        <top style="hair">
          <color indexed="64"/>
        </top>
        <bottom style="hair">
          <color indexed="64"/>
        </bottom>
      </border>
      <protection locked="1" hidden="1"/>
    </dxf>
    <dxf>
      <font>
        <strike val="0"/>
        <outline val="0"/>
        <shadow val="0"/>
        <u val="none"/>
        <vertAlign val="baseline"/>
        <sz val="12"/>
        <name val="Arial"/>
        <family val="2"/>
        <scheme val="minor"/>
      </font>
      <numFmt numFmtId="174" formatCode="#,##0.0000_);\(#,##0.0000\)"/>
      <fill>
        <patternFill patternType="none">
          <fgColor indexed="64"/>
          <bgColor auto="1"/>
        </patternFill>
      </fill>
      <alignment horizontal="center" vertical="center" textRotation="0" wrapText="0" indent="0" justifyLastLine="0" shrinkToFit="0" readingOrder="0"/>
      <border diagonalUp="0" diagonalDown="0" outline="0">
        <left style="hair">
          <color indexed="64"/>
        </left>
        <right style="hair">
          <color indexed="64"/>
        </right>
        <top style="hair">
          <color indexed="64"/>
        </top>
        <bottom style="hair">
          <color indexed="64"/>
        </bottom>
      </border>
      <protection locked="1" hidden="1"/>
    </dxf>
    <dxf>
      <font>
        <strike val="0"/>
        <outline val="0"/>
        <shadow val="0"/>
        <u val="none"/>
        <vertAlign val="baseline"/>
        <sz val="12"/>
        <name val="Arial"/>
        <family val="2"/>
        <scheme val="minor"/>
      </font>
      <numFmt numFmtId="168" formatCode="0.0"/>
      <alignment horizontal="center" vertical="center" textRotation="0" indent="0" justifyLastLine="0" shrinkToFit="0" readingOrder="0"/>
      <border diagonalUp="0" diagonalDown="0" outline="0">
        <left style="hair">
          <color indexed="64"/>
        </left>
        <right style="hair">
          <color indexed="64"/>
        </right>
        <top style="hair">
          <color indexed="64"/>
        </top>
        <bottom style="hair">
          <color indexed="64"/>
        </bottom>
      </border>
      <protection locked="1" hidden="1"/>
    </dxf>
    <dxf>
      <font>
        <strike val="0"/>
        <outline val="0"/>
        <shadow val="0"/>
        <u val="none"/>
        <vertAlign val="baseline"/>
        <sz val="12"/>
        <name val="Arial"/>
        <family val="2"/>
        <scheme val="minor"/>
      </font>
      <alignment horizontal="center" vertical="center" textRotation="0" indent="0" justifyLastLine="0" shrinkToFit="0" readingOrder="0"/>
      <border diagonalUp="0" diagonalDown="0" outline="0">
        <left style="hair">
          <color indexed="64"/>
        </left>
        <right style="hair">
          <color indexed="64"/>
        </right>
        <top style="hair">
          <color indexed="64"/>
        </top>
        <bottom style="hair">
          <color indexed="64"/>
        </bottom>
      </border>
      <protection locked="0" hidden="0"/>
    </dxf>
    <dxf>
      <font>
        <strike val="0"/>
        <outline val="0"/>
        <shadow val="0"/>
        <u val="none"/>
        <vertAlign val="baseline"/>
        <sz val="12"/>
        <name val="Arial"/>
        <family val="2"/>
        <scheme val="minor"/>
      </font>
      <numFmt numFmtId="194" formatCode="&quot;$&quot;#,##0"/>
      <alignment horizontal="center" vertical="center" textRotation="0" indent="0" justifyLastLine="0" shrinkToFit="0" readingOrder="0"/>
      <border diagonalUp="0" diagonalDown="0">
        <left style="hair">
          <color indexed="64"/>
        </left>
        <right style="hair">
          <color indexed="64"/>
        </right>
        <top style="hair">
          <color indexed="64"/>
        </top>
        <bottom style="hair">
          <color indexed="64"/>
        </bottom>
      </border>
      <protection locked="0" hidden="0"/>
    </dxf>
    <dxf>
      <font>
        <strike val="0"/>
        <outline val="0"/>
        <shadow val="0"/>
        <u val="none"/>
        <vertAlign val="baseline"/>
        <sz val="12"/>
        <name val="Arial"/>
        <family val="2"/>
        <scheme val="minor"/>
      </font>
      <alignment horizontal="center" vertical="center" textRotation="0" indent="0" justifyLastLine="0" shrinkToFit="0" readingOrder="0"/>
      <border diagonalUp="0" diagonalDown="0" outline="0">
        <left style="hair">
          <color indexed="64"/>
        </left>
        <right style="hair">
          <color indexed="64"/>
        </right>
        <top style="hair">
          <color indexed="64"/>
        </top>
        <bottom style="hair">
          <color indexed="64"/>
        </bottom>
      </border>
      <protection locked="0" hidden="0"/>
    </dxf>
    <dxf>
      <font>
        <strike val="0"/>
        <outline val="0"/>
        <shadow val="0"/>
        <u val="none"/>
        <vertAlign val="baseline"/>
        <sz val="12"/>
        <name val="Arial"/>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hair">
          <color indexed="64"/>
        </left>
        <right style="hair">
          <color indexed="64"/>
        </right>
        <top style="hair">
          <color indexed="64"/>
        </top>
        <bottom style="hair">
          <color indexed="64"/>
        </bottom>
      </border>
      <protection locked="1" hidden="1"/>
    </dxf>
    <dxf>
      <alignment horizontal="left" vertical="center" textRotation="0" indent="0" justifyLastLine="0" shrinkToFit="0" readingOrder="0"/>
      <protection locked="1" hidden="1"/>
    </dxf>
    <dxf>
      <font>
        <b val="0"/>
        <i val="0"/>
        <strike val="0"/>
        <condense val="0"/>
        <extend val="0"/>
        <outline val="0"/>
        <shadow val="0"/>
        <u val="none"/>
        <vertAlign val="baseline"/>
        <sz val="11"/>
        <color theme="0"/>
        <name val="Arial"/>
        <family val="2"/>
        <scheme val="minor"/>
      </font>
      <fill>
        <patternFill patternType="solid">
          <fgColor indexed="64"/>
          <bgColor theme="4"/>
        </patternFill>
      </fill>
      <alignment horizontal="general" vertical="bottom" textRotation="0" wrapText="1" indent="0" justifyLastLine="0" shrinkToFit="0" readingOrder="0"/>
      <protection locked="1" hidden="1"/>
    </dxf>
    <dxf>
      <numFmt numFmtId="175" formatCode="_(* #,##0.0000_);_(* \(#,##0.0000\);_(* &quot;-&quot;??_);_(@_)"/>
      <alignment horizontal="left" vertical="center" textRotation="0" indent="0" justifyLastLine="0" shrinkToFit="0" readingOrder="0"/>
      <protection locked="1" hidden="1"/>
    </dxf>
    <dxf>
      <numFmt numFmtId="175" formatCode="_(* #,##0.0000_);_(* \(#,##0.0000\);_(* &quot;-&quot;??_);_(@_)"/>
      <alignment horizontal="left" vertical="center" textRotation="0" indent="0" justifyLastLine="0" shrinkToFit="0" readingOrder="0"/>
      <protection locked="1" hidden="1"/>
    </dxf>
    <dxf>
      <numFmt numFmtId="175" formatCode="_(* #,##0.0000_);_(* \(#,##0.0000\);_(* &quot;-&quot;??_);_(@_)"/>
      <alignment horizontal="left" vertical="center" textRotation="0" indent="0" justifyLastLine="0" shrinkToFit="0" readingOrder="0"/>
      <protection locked="1" hidden="1"/>
    </dxf>
    <dxf>
      <alignment horizontal="left" vertical="center" textRotation="0" wrapText="1" indent="0" justifyLastLine="0" shrinkToFit="0" readingOrder="0"/>
      <protection locked="1" hidden="1"/>
    </dxf>
    <dxf>
      <alignment horizontal="left" vertical="center" textRotation="0" wrapText="1" indent="0" justifyLastLine="0" shrinkToFit="0" readingOrder="0"/>
      <protection locked="1" hidden="1"/>
    </dxf>
    <dxf>
      <fill>
        <patternFill patternType="none">
          <bgColor auto="1"/>
        </patternFill>
      </fill>
      <alignment horizontal="left" vertical="center" textRotation="0" wrapText="1" indent="0" justifyLastLine="0" shrinkToFit="0" readingOrder="0"/>
      <border diagonalUp="0" diagonalDown="0" outline="0">
        <left style="hair">
          <color indexed="64"/>
        </left>
        <right style="hair">
          <color indexed="64"/>
        </right>
        <top style="hair">
          <color indexed="64"/>
        </top>
        <bottom style="hair">
          <color indexed="64"/>
        </bottom>
      </border>
      <protection locked="1" hidden="1"/>
    </dxf>
    <dxf>
      <fill>
        <patternFill patternType="none">
          <bgColor auto="1"/>
        </patternFill>
      </fill>
      <alignment horizontal="left" vertical="center" textRotation="0" wrapText="1" indent="0" justifyLastLine="0" shrinkToFit="0" readingOrder="0"/>
      <border diagonalUp="0" diagonalDown="0" outline="0">
        <left style="hair">
          <color indexed="64"/>
        </left>
        <right style="hair">
          <color indexed="64"/>
        </right>
        <top style="hair">
          <color indexed="64"/>
        </top>
        <bottom style="hair">
          <color indexed="64"/>
        </bottom>
      </border>
      <protection locked="1" hidden="1"/>
    </dxf>
    <dxf>
      <font>
        <b val="0"/>
        <i val="0"/>
        <strike val="0"/>
        <condense val="0"/>
        <extend val="0"/>
        <outline val="0"/>
        <shadow val="0"/>
        <u val="none"/>
        <vertAlign val="baseline"/>
        <sz val="12"/>
        <color theme="1"/>
        <name val="Arial"/>
        <family val="2"/>
        <scheme val="minor"/>
      </font>
      <numFmt numFmtId="13" formatCode="0%"/>
      <fill>
        <patternFill patternType="none">
          <bgColor auto="1"/>
        </patternFill>
      </fill>
      <alignment horizontal="center" vertical="center" textRotation="0" wrapText="0" indent="0" justifyLastLine="0" shrinkToFit="0" readingOrder="0"/>
      <border diagonalUp="0" diagonalDown="0">
        <left style="hair">
          <color indexed="64"/>
        </left>
        <right style="hair">
          <color indexed="64"/>
        </right>
        <top style="hair">
          <color indexed="64"/>
        </top>
        <bottom style="hair">
          <color indexed="64"/>
        </bottom>
      </border>
      <protection locked="1" hidden="1"/>
    </dxf>
    <dxf>
      <font>
        <strike val="0"/>
        <outline val="0"/>
        <shadow val="0"/>
        <u val="none"/>
        <vertAlign val="baseline"/>
        <sz val="12"/>
        <name val="Arial"/>
        <family val="2"/>
        <scheme val="minor"/>
      </font>
      <numFmt numFmtId="193" formatCode="#,##0.000_);\(#,##0.000\)"/>
      <fill>
        <patternFill patternType="none">
          <bgColor auto="1"/>
        </patternFill>
      </fill>
      <alignment horizontal="center" vertical="center" textRotation="0" wrapText="0" indent="0" justifyLastLine="0" shrinkToFit="0" readingOrder="0"/>
      <border diagonalUp="0" diagonalDown="0" outline="0">
        <left/>
        <right style="hair">
          <color indexed="64"/>
        </right>
        <top style="hair">
          <color indexed="64"/>
        </top>
        <bottom style="hair">
          <color indexed="64"/>
        </bottom>
      </border>
      <protection locked="1" hidden="1"/>
    </dxf>
    <dxf>
      <font>
        <strike val="0"/>
        <outline val="0"/>
        <shadow val="0"/>
        <u val="none"/>
        <vertAlign val="baseline"/>
        <sz val="12"/>
        <name val="Arial"/>
        <family val="2"/>
        <scheme val="minor"/>
      </font>
      <numFmt numFmtId="174" formatCode="#,##0.0000_);\(#,##0.0000\)"/>
      <fill>
        <patternFill patternType="none">
          <bgColor auto="1"/>
        </patternFill>
      </fill>
      <alignment horizontal="center" vertical="center" textRotation="0" wrapText="0" indent="0" justifyLastLine="0" shrinkToFit="0" readingOrder="0"/>
      <border diagonalUp="0" diagonalDown="0" outline="0">
        <left style="hair">
          <color indexed="64"/>
        </left>
        <right style="hair">
          <color indexed="64"/>
        </right>
        <top style="hair">
          <color indexed="64"/>
        </top>
        <bottom style="hair">
          <color indexed="64"/>
        </bottom>
      </border>
      <protection locked="1" hidden="1"/>
    </dxf>
    <dxf>
      <font>
        <strike val="0"/>
        <outline val="0"/>
        <shadow val="0"/>
        <u val="none"/>
        <vertAlign val="baseline"/>
        <sz val="12"/>
        <name val="Arial"/>
        <family val="2"/>
        <scheme val="minor"/>
      </font>
      <numFmt numFmtId="168" formatCode="0.0"/>
      <fill>
        <patternFill patternType="none">
          <bgColor auto="1"/>
        </patternFill>
      </fill>
      <alignment horizontal="center" vertical="center" textRotation="0" indent="0" justifyLastLine="0" shrinkToFit="0" readingOrder="0"/>
      <border diagonalUp="0" diagonalDown="0" outline="0">
        <left style="hair">
          <color indexed="64"/>
        </left>
        <right/>
        <top style="hair">
          <color indexed="64"/>
        </top>
        <bottom style="hair">
          <color indexed="64"/>
        </bottom>
      </border>
      <protection locked="1" hidden="1"/>
    </dxf>
    <dxf>
      <font>
        <strike val="0"/>
        <outline val="0"/>
        <shadow val="0"/>
        <u val="none"/>
        <vertAlign val="baseline"/>
        <sz val="12"/>
        <name val="Arial"/>
        <family val="2"/>
        <scheme val="minor"/>
      </font>
      <alignment horizontal="center" vertical="center" textRotation="0" indent="0" justifyLastLine="0" shrinkToFit="0" readingOrder="0"/>
      <border diagonalUp="0" diagonalDown="0" outline="0">
        <left style="hair">
          <color indexed="64"/>
        </left>
        <right style="hair">
          <color indexed="64"/>
        </right>
        <top style="hair">
          <color indexed="64"/>
        </top>
        <bottom style="hair">
          <color indexed="64"/>
        </bottom>
      </border>
      <protection locked="0" hidden="0"/>
    </dxf>
    <dxf>
      <font>
        <strike val="0"/>
        <outline val="0"/>
        <shadow val="0"/>
        <u val="none"/>
        <vertAlign val="baseline"/>
        <sz val="12"/>
        <name val="Arial"/>
        <family val="2"/>
        <scheme val="minor"/>
      </font>
      <numFmt numFmtId="194" formatCode="&quot;$&quot;#,##0"/>
      <alignment horizontal="center" vertical="center" textRotation="0" indent="0" justifyLastLine="0" shrinkToFit="0" readingOrder="0"/>
      <border diagonalUp="0" diagonalDown="0">
        <left style="hair">
          <color indexed="64"/>
        </left>
        <right style="hair">
          <color indexed="64"/>
        </right>
        <top style="hair">
          <color indexed="64"/>
        </top>
        <bottom style="hair">
          <color indexed="64"/>
        </bottom>
      </border>
      <protection locked="0" hidden="0"/>
    </dxf>
    <dxf>
      <font>
        <strike val="0"/>
        <outline val="0"/>
        <shadow val="0"/>
        <u val="none"/>
        <vertAlign val="baseline"/>
        <sz val="12"/>
        <name val="Arial"/>
        <family val="2"/>
        <scheme val="minor"/>
      </font>
      <alignment horizontal="center" vertical="center" textRotation="0" indent="0" justifyLastLine="0" shrinkToFit="0" readingOrder="0"/>
      <border diagonalUp="0" diagonalDown="0" outline="0">
        <left style="hair">
          <color indexed="64"/>
        </left>
        <right style="hair">
          <color indexed="64"/>
        </right>
        <top style="hair">
          <color indexed="64"/>
        </top>
        <bottom style="hair">
          <color indexed="64"/>
        </bottom>
      </border>
      <protection locked="0" hidden="0"/>
    </dxf>
    <dxf>
      <font>
        <strike val="0"/>
        <outline val="0"/>
        <shadow val="0"/>
        <u val="none"/>
        <vertAlign val="baseline"/>
        <sz val="12"/>
        <name val="Arial"/>
        <family val="2"/>
        <scheme val="minor"/>
      </font>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vertical/>
        <horizontal/>
      </border>
      <protection locked="1" hidden="1"/>
    </dxf>
    <dxf>
      <alignment horizontal="left" vertical="center" textRotation="0" indent="0" justifyLastLine="0" shrinkToFit="0" readingOrder="0"/>
      <protection locked="1" hidden="1"/>
    </dxf>
    <dxf>
      <font>
        <b val="0"/>
        <i val="0"/>
        <strike val="0"/>
        <condense val="0"/>
        <extend val="0"/>
        <outline val="0"/>
        <shadow val="0"/>
        <u val="none"/>
        <vertAlign val="baseline"/>
        <sz val="11"/>
        <color theme="0"/>
        <name val="Arial"/>
        <family val="2"/>
        <scheme val="minor"/>
      </font>
      <fill>
        <patternFill patternType="solid">
          <fgColor indexed="64"/>
          <bgColor theme="4"/>
        </patternFill>
      </fill>
      <alignment horizontal="general" vertical="bottom" textRotation="0" wrapText="1" indent="0" justifyLastLine="0" shrinkToFit="0" readingOrder="0"/>
      <protection locked="1" hidden="1"/>
    </dxf>
    <dxf>
      <border>
        <left/>
        <right/>
        <top/>
        <bottom style="thick">
          <color theme="4"/>
        </bottom>
        <vertical/>
        <horizontal/>
      </border>
    </dxf>
    <dxf>
      <border>
        <left/>
        <right/>
        <top/>
        <bottom/>
        <vertical/>
        <horizontal style="dotted">
          <color theme="0" tint="-0.24994659260841701"/>
        </horizontal>
      </border>
    </dxf>
  </dxfs>
  <tableStyles count="2" defaultTableStyle="TableStyleMedium2" defaultPivotStyle="PivotStyleLight16">
    <tableStyle name="Invisible" pivot="0" table="0" count="0" xr9:uid="{00000000-0011-0000-FFFF-FFFF00000000}"/>
    <tableStyle name="Table Style 1" pivot="0" count="2" xr9:uid="{00000000-0011-0000-FFFF-FFFF01000000}">
      <tableStyleElement type="wholeTable" dxfId="138"/>
      <tableStyleElement type="headerRow" dxfId="137"/>
    </tableStyle>
  </tableStyles>
  <colors>
    <mruColors>
      <color rgb="FF0000FF"/>
      <color rgb="FFFFFFCC"/>
      <color rgb="FFCCFF99"/>
      <color rgb="FFA9D08E"/>
      <color rgb="FFD2E7D6"/>
      <color rgb="FF6DCEF9"/>
      <color rgb="FF71CCF5"/>
      <color rgb="FF9BE686"/>
      <color rgb="FFC2DE91"/>
      <color rgb="FF67943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microsoft.com/office/2007/relationships/slicerCache" Target="slicerCaches/slicerCache4.xml"/><Relationship Id="rId50" Type="http://schemas.openxmlformats.org/officeDocument/2006/relationships/sharedStrings" Target="sharedStrings.xml"/><Relationship Id="rId55"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microsoft.com/office/2007/relationships/slicerCache" Target="slicerCaches/slicerCache2.xml"/><Relationship Id="rId53"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56"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sheetMetadata" Target="metadata.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microsoft.com/office/2007/relationships/slicerCache" Target="slicerCaches/slicerCache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57" Type="http://schemas.openxmlformats.org/officeDocument/2006/relationships/customXml" Target="../customXml/item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microsoft.com/office/2007/relationships/slicerCache" Target="slicerCaches/slicerCache1.xml"/><Relationship Id="rId52" Type="http://schemas.microsoft.com/office/2017/10/relationships/person" Target="persons/perso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'Results &amp; Summary'!$C$39</c:f>
              <c:strCache>
                <c:ptCount val="1"/>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6-8883-419A-BA17-91AEF9AC0D4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7-8883-419A-BA17-91AEF9AC0D4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883-419A-BA17-91AEF9AC0D4C}"/>
              </c:ext>
            </c:extLst>
          </c:dPt>
          <c:dLbls>
            <c:dLbl>
              <c:idx val="0"/>
              <c:layout>
                <c:manualLayout>
                  <c:x val="0.132293891251445"/>
                  <c:y val="3.9001170802863493E-2"/>
                </c:manualLayout>
              </c:layout>
              <c:tx>
                <c:rich>
                  <a:bodyPr/>
                  <a:lstStyle/>
                  <a:p>
                    <a:fld id="{B05880C7-1F6E-46D7-95AF-10B26060EAD2}" type="CATEGORYNAME">
                      <a:rPr lang="en-US" sz="1600"/>
                      <a:pPr/>
                      <a:t>[CATEGORY NAME]</a:t>
                    </a:fld>
                    <a:r>
                      <a:rPr lang="en-US" sz="1600" baseline="0"/>
                      <a:t>,</a:t>
                    </a:r>
                    <a:r>
                      <a:rPr lang="en-US" baseline="0"/>
                      <a:t> </a:t>
                    </a:r>
                    <a:fld id="{CF6EA231-C679-4161-AD68-AD3F8CCDB4D0}" type="VALUE">
                      <a:rPr lang="en-US" sz="1600" baseline="0"/>
                      <a:pPr/>
                      <a:t>[VALUE]</a:t>
                    </a:fld>
                    <a:endParaRPr lang="en-US" baseline="0"/>
                  </a:p>
                </c:rich>
              </c:tx>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6-8883-419A-BA17-91AEF9AC0D4C}"/>
                </c:ext>
              </c:extLst>
            </c:dLbl>
            <c:dLbl>
              <c:idx val="1"/>
              <c:layout>
                <c:manualLayout>
                  <c:x val="-0.11339476392981013"/>
                  <c:y val="-1.2187865875894941E-2"/>
                </c:manualLayout>
              </c:layout>
              <c:tx>
                <c:rich>
                  <a:bodyPr/>
                  <a:lstStyle/>
                  <a:p>
                    <a:fld id="{82E02E6C-A05D-4114-A5D2-98B39A3F4F68}" type="CATEGORYNAME">
                      <a:rPr lang="en-US" sz="1600"/>
                      <a:pPr/>
                      <a:t>[CATEGORY NAME]</a:t>
                    </a:fld>
                    <a:r>
                      <a:rPr lang="en-US" baseline="0"/>
                      <a:t>, </a:t>
                    </a:r>
                    <a:fld id="{E1E07AD0-D5D7-40E5-8D36-7C1F6A0B903E}" type="VALUE">
                      <a:rPr lang="en-US" sz="1600" baseline="0"/>
                      <a:pPr/>
                      <a:t>[VALUE]</a:t>
                    </a:fld>
                    <a:endParaRPr lang="en-US" baseline="0"/>
                  </a:p>
                </c:rich>
              </c:tx>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8883-419A-BA17-91AEF9AC0D4C}"/>
                </c:ext>
              </c:extLst>
            </c:dLbl>
            <c:dLbl>
              <c:idx val="2"/>
              <c:layout>
                <c:manualLayout>
                  <c:x val="-0.11528467666197367"/>
                  <c:y val="-8.0439914780906313E-2"/>
                </c:manualLayout>
              </c:layout>
              <c:tx>
                <c:rich>
                  <a:bodyPr/>
                  <a:lstStyle/>
                  <a:p>
                    <a:fld id="{04D9FBBC-1AF8-49FD-B523-0AA56C56670A}" type="CATEGORYNAME">
                      <a:rPr lang="en-US" sz="1600"/>
                      <a:pPr/>
                      <a:t>[CATEGORY NAME]</a:t>
                    </a:fld>
                    <a:r>
                      <a:rPr lang="en-US" sz="1600" baseline="0"/>
                      <a:t>, </a:t>
                    </a:r>
                    <a:fld id="{950FAE9A-8F5F-4885-9350-877C05F9119C}" type="VALUE">
                      <a:rPr lang="en-US" sz="1600" baseline="0"/>
                      <a:pPr/>
                      <a:t>[VALUE]</a:t>
                    </a:fld>
                    <a:endParaRPr lang="en-US" sz="1600" baseline="0"/>
                  </a:p>
                </c:rich>
              </c:tx>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8883-419A-BA17-91AEF9AC0D4C}"/>
                </c:ext>
              </c:extLst>
            </c:dLbl>
            <c:spPr>
              <a:solidFill>
                <a:srgbClr val="FFFFFF"/>
              </a:solidFill>
              <a:ln>
                <a:solidFill>
                  <a:srgbClr val="343A3C">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'Results &amp; Summary'!$H$33:$H$35</c:f>
              <c:strCache>
                <c:ptCount val="3"/>
                <c:pt idx="0">
                  <c:v>Scope 1</c:v>
                </c:pt>
                <c:pt idx="1">
                  <c:v>Scope 2</c:v>
                </c:pt>
                <c:pt idx="2">
                  <c:v>Scope 3</c:v>
                </c:pt>
              </c:strCache>
            </c:strRef>
          </c:cat>
          <c:val>
            <c:numRef>
              <c:f>'Results &amp; Summary'!$I$33:$I$35</c:f>
              <c:numCache>
                <c:formatCode>0.0%</c:formatCode>
                <c:ptCount val="3"/>
                <c:pt idx="0">
                  <c:v>0</c:v>
                </c:pt>
                <c:pt idx="1">
                  <c:v>0</c:v>
                </c:pt>
                <c:pt idx="2">
                  <c:v>1</c:v>
                </c:pt>
              </c:numCache>
            </c:numRef>
          </c:val>
          <c:extLst>
            <c:ext xmlns:c16="http://schemas.microsoft.com/office/drawing/2014/chart" uri="{C3380CC4-5D6E-409C-BE32-E72D297353CC}">
              <c16:uniqueId val="{00000004-8883-419A-BA17-91AEF9AC0D4C}"/>
            </c:ext>
          </c:extLst>
        </c:ser>
        <c:dLbls>
          <c:showLegendKey val="0"/>
          <c:showVal val="0"/>
          <c:showCatName val="0"/>
          <c:showSerName val="0"/>
          <c:showPercent val="0"/>
          <c:showBubbleSize val="0"/>
          <c:showLeaderLines val="0"/>
        </c:dLbls>
        <c:firstSliceAng val="0"/>
        <c:holeSize val="75"/>
      </c:doughnut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bg2">
                    <a:lumMod val="10000"/>
                  </a:schemeClr>
                </a:solidFill>
                <a:latin typeface="+mn-lt"/>
                <a:ea typeface="+mn-ea"/>
                <a:cs typeface="+mn-cs"/>
              </a:defRPr>
            </a:pPr>
            <a:r>
              <a:rPr lang="es-AR">
                <a:solidFill>
                  <a:schemeClr val="bg2">
                    <a:lumMod val="10000"/>
                  </a:schemeClr>
                </a:solidFill>
              </a:rPr>
              <a:t>Total emissions per source </a:t>
            </a:r>
            <a:endParaRPr lang="en-US">
              <a:solidFill>
                <a:schemeClr val="bg2">
                  <a:lumMod val="10000"/>
                </a:schemeClr>
              </a:solidFill>
            </a:endParaRPr>
          </a:p>
        </c:rich>
      </c:tx>
      <c:layout>
        <c:manualLayout>
          <c:xMode val="edge"/>
          <c:yMode val="edge"/>
          <c:x val="6.452105577200283E-2"/>
          <c:y val="2.010942650980150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bg2">
                  <a:lumMod val="10000"/>
                </a:schemeClr>
              </a:solidFill>
              <a:latin typeface="+mn-lt"/>
              <a:ea typeface="+mn-ea"/>
              <a:cs typeface="+mn-cs"/>
            </a:defRPr>
          </a:pPr>
          <a:endParaRPr lang="en-US"/>
        </a:p>
      </c:txPr>
    </c:title>
    <c:autoTitleDeleted val="0"/>
    <c:plotArea>
      <c:layout>
        <c:manualLayout>
          <c:layoutTarget val="inner"/>
          <c:xMode val="edge"/>
          <c:yMode val="edge"/>
          <c:x val="0.25004145523396276"/>
          <c:y val="8.5614769205947155E-2"/>
          <c:w val="0.7345766159888818"/>
          <c:h val="0.76976504724339756"/>
        </c:manualLayout>
      </c:layout>
      <c:barChart>
        <c:barDir val="bar"/>
        <c:grouping val="clustered"/>
        <c:varyColors val="0"/>
        <c:ser>
          <c:idx val="0"/>
          <c:order val="0"/>
          <c:tx>
            <c:strRef>
              <c:f>'Results &amp; Summary'!$L$7</c:f>
              <c:strCache>
                <c:ptCount val="1"/>
                <c:pt idx="0">
                  <c:v>Aux Sunburst</c:v>
                </c:pt>
              </c:strCache>
            </c:strRef>
          </c:tx>
          <c:spPr>
            <a:solidFill>
              <a:schemeClr val="accent1"/>
            </a:solidFill>
            <a:ln>
              <a:solidFill>
                <a:srgbClr val="343A3C">
                  <a:lumMod val="50000"/>
                  <a:lumOff val="50000"/>
                  <a:alpha val="47000"/>
                </a:srgbClr>
              </a:solidFill>
            </a:ln>
            <a:effectLst/>
          </c:spPr>
          <c:invertIfNegative val="0"/>
          <c:dLbls>
            <c:numFmt formatCode="#,###;;;"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2">
                        <a:lumMod val="1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 &amp; Summary'!$M$8:$M$24</c:f>
              <c:strCache>
                <c:ptCount val="17"/>
                <c:pt idx="0">
                  <c:v>Stationary combustion</c:v>
                </c:pt>
                <c:pt idx="1">
                  <c:v>Mobile combustion</c:v>
                </c:pt>
                <c:pt idx="2">
                  <c:v>Refrigerants and fire suppression</c:v>
                </c:pt>
                <c:pt idx="3">
                  <c:v>Purchased electricity</c:v>
                </c:pt>
                <c:pt idx="4">
                  <c:v>Purchased steam, hot and chilled water</c:v>
                </c:pt>
                <c:pt idx="5">
                  <c:v>Purchased goods &amp; services</c:v>
                </c:pt>
                <c:pt idx="6">
                  <c:v>Capital goods</c:v>
                </c:pt>
                <c:pt idx="7">
                  <c:v>Fuel- &amp; energy-related emissions</c:v>
                </c:pt>
                <c:pt idx="8">
                  <c:v>Upstream transportation &amp; distribution</c:v>
                </c:pt>
                <c:pt idx="9">
                  <c:v>Waste generated in operations</c:v>
                </c:pt>
                <c:pt idx="10">
                  <c:v>Business travel</c:v>
                </c:pt>
                <c:pt idx="11">
                  <c:v>Employee commuting</c:v>
                </c:pt>
                <c:pt idx="12">
                  <c:v>Upstream leased assets</c:v>
                </c:pt>
                <c:pt idx="13">
                  <c:v>Downstream transportation &amp; distribution
[Patient Visits &amp; Telehealth]</c:v>
                </c:pt>
                <c:pt idx="14">
                  <c:v>Use of sold products</c:v>
                </c:pt>
                <c:pt idx="15">
                  <c:v>Downstream leased assets</c:v>
                </c:pt>
                <c:pt idx="16">
                  <c:v>Investments</c:v>
                </c:pt>
              </c:strCache>
            </c:strRef>
          </c:cat>
          <c:val>
            <c:numRef>
              <c:f>'Results &amp; Summary'!$N$8:$N$24</c:f>
              <c:numCache>
                <c:formatCode>_-* #,##0.00_-;\-* #,##0.00_-;_-* "-"??_-;_-@_-</c:formatCode>
                <c:ptCount val="17"/>
                <c:pt idx="0">
                  <c:v>0</c:v>
                </c:pt>
                <c:pt idx="1">
                  <c:v>0</c:v>
                </c:pt>
                <c:pt idx="2">
                  <c:v>0</c:v>
                </c:pt>
                <c:pt idx="3">
                  <c:v>0</c:v>
                </c:pt>
                <c:pt idx="4">
                  <c:v>0</c:v>
                </c:pt>
                <c:pt idx="5">
                  <c:v>0</c:v>
                </c:pt>
                <c:pt idx="6">
                  <c:v>0</c:v>
                </c:pt>
                <c:pt idx="7">
                  <c:v>4645.4736823110006</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0-F807-45BD-BAED-7A8595D1A429}"/>
            </c:ext>
          </c:extLst>
        </c:ser>
        <c:dLbls>
          <c:showLegendKey val="0"/>
          <c:showVal val="0"/>
          <c:showCatName val="0"/>
          <c:showSerName val="0"/>
          <c:showPercent val="0"/>
          <c:showBubbleSize val="0"/>
        </c:dLbls>
        <c:gapWidth val="182"/>
        <c:axId val="205998336"/>
        <c:axId val="206004224"/>
        <c:extLst/>
      </c:barChart>
      <c:catAx>
        <c:axId val="205998336"/>
        <c:scaling>
          <c:orientation val="minMax"/>
        </c:scaling>
        <c:delete val="0"/>
        <c:axPos val="l"/>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bg2">
                    <a:lumMod val="10000"/>
                  </a:schemeClr>
                </a:solidFill>
                <a:latin typeface="+mn-lt"/>
                <a:ea typeface="+mn-ea"/>
                <a:cs typeface="+mn-cs"/>
              </a:defRPr>
            </a:pPr>
            <a:endParaRPr lang="en-US"/>
          </a:p>
        </c:txPr>
        <c:crossAx val="206004224"/>
        <c:crosses val="autoZero"/>
        <c:auto val="1"/>
        <c:lblAlgn val="ctr"/>
        <c:lblOffset val="100"/>
        <c:noMultiLvlLbl val="0"/>
      </c:catAx>
      <c:valAx>
        <c:axId val="206004224"/>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0"/>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9983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1969000541496777E-2"/>
          <c:y val="1.313908502138071E-2"/>
          <c:w val="0.96602104993432503"/>
          <c:h val="0.82535289718802884"/>
        </c:manualLayout>
      </c:layout>
      <c:ofPieChart>
        <c:ofPieType val="pie"/>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714-4FEA-BE60-2573B6CF3E9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714-4FEA-BE60-2573B6CF3E9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714-4FEA-BE60-2573B6CF3E9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5714-4FEA-BE60-2573B6CF3E9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5714-4FEA-BE60-2573B6CF3E97}"/>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5714-4FEA-BE60-2573B6CF3E97}"/>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5714-4FEA-BE60-2573B6CF3E97}"/>
              </c:ext>
            </c:extLst>
          </c:dPt>
          <c:dLbls>
            <c:numFmt formatCode="0.0%;\-0;;@\," sourceLinked="0"/>
            <c:spPr>
              <a:solidFill>
                <a:srgbClr val="FFFFFF"/>
              </a:solidFill>
              <a:ln>
                <a:solidFill>
                  <a:srgbClr val="343A3C">
                    <a:lumMod val="50000"/>
                    <a:lumOff val="50000"/>
                  </a:srgbClr>
                </a:solidFill>
              </a:ln>
              <a:effectLst/>
            </c:spPr>
            <c:txPr>
              <a:bodyPr rot="0" spcFirstLastPara="1" vertOverflow="overflow" horzOverflow="overflow"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ctr"/>
            <c:showLegendKey val="0"/>
            <c:showVal val="0"/>
            <c:showCatName val="0"/>
            <c:showSerName val="0"/>
            <c:showPercent val="1"/>
            <c:showBubbleSize val="0"/>
            <c:showLeaderLines val="0"/>
            <c:extLst>
              <c:ext xmlns:c15="http://schemas.microsoft.com/office/drawing/2012/chart" uri="{CE6537A1-D6FC-4f65-9D91-7224C49458BB}">
                <c15:spPr xmlns:c15="http://schemas.microsoft.com/office/drawing/2012/chart">
                  <a:prstGeom prst="flowChartAlternateProcess">
                    <a:avLst/>
                  </a:prstGeom>
                  <a:noFill/>
                  <a:ln>
                    <a:noFill/>
                  </a:ln>
                </c15:spPr>
              </c:ext>
            </c:extLst>
          </c:dLbls>
          <c:cat>
            <c:strRef>
              <c:extLst>
                <c:ext xmlns:c15="http://schemas.microsoft.com/office/drawing/2012/chart" uri="{02D57815-91ED-43cb-92C2-25804820EDAC}">
                  <c15:fullRef>
                    <c15:sqref>'Results &amp; Summary'!$Q$8:$Q$22</c15:sqref>
                  </c15:fullRef>
                </c:ext>
              </c:extLst>
              <c:f>'Results &amp; Summary'!$Q$8:$Q$13</c:f>
              <c:strCache>
                <c:ptCount val="6"/>
                <c:pt idx="0">
                  <c:v>Stationary combustion</c:v>
                </c:pt>
                <c:pt idx="1">
                  <c:v>Mobile combustion</c:v>
                </c:pt>
                <c:pt idx="2">
                  <c:v>Refrigerants and fire suppression</c:v>
                </c:pt>
                <c:pt idx="3">
                  <c:v>Inhaled anesthetic gases</c:v>
                </c:pt>
                <c:pt idx="4">
                  <c:v>Purchased electricity</c:v>
                </c:pt>
                <c:pt idx="5">
                  <c:v>Purchased steam, hot and chilled water</c:v>
                </c:pt>
              </c:strCache>
            </c:strRef>
          </c:cat>
          <c:val>
            <c:numRef>
              <c:extLst>
                <c:ext xmlns:c15="http://schemas.microsoft.com/office/drawing/2012/chart" uri="{02D57815-91ED-43cb-92C2-25804820EDAC}">
                  <c15:fullRef>
                    <c15:sqref>'Results &amp; Summary'!$R$8:$R$22</c15:sqref>
                  </c15:fullRef>
                </c:ext>
              </c:extLst>
              <c:f>'Results &amp; Summary'!$R$8:$R$13</c:f>
              <c:numCache>
                <c:formatCode>General</c:formatCode>
                <c:ptCount val="6"/>
                <c:pt idx="0">
                  <c:v>0</c:v>
                </c:pt>
                <c:pt idx="1">
                  <c:v>0</c:v>
                </c:pt>
                <c:pt idx="2">
                  <c:v>0</c:v>
                </c:pt>
                <c:pt idx="3">
                  <c:v>0</c:v>
                </c:pt>
                <c:pt idx="4">
                  <c:v>0</c:v>
                </c:pt>
                <c:pt idx="5">
                  <c:v>0</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E-5714-4FEA-BE60-2573B6CF3E97}"/>
            </c:ext>
          </c:extLst>
        </c:ser>
        <c:dLbls>
          <c:dLblPos val="inEnd"/>
          <c:showLegendKey val="0"/>
          <c:showVal val="0"/>
          <c:showCatName val="0"/>
          <c:showSerName val="0"/>
          <c:showPercent val="0"/>
          <c:showBubbleSize val="0"/>
          <c:showLeaderLines val="0"/>
        </c:dLbls>
        <c:gapWidth val="100"/>
        <c:splitType val="percent"/>
        <c:splitPos val="8"/>
        <c:secondPieSize val="75"/>
        <c:serLines>
          <c:spPr>
            <a:ln w="9525" cap="flat" cmpd="sng" algn="ctr">
              <a:solidFill>
                <a:schemeClr val="tx1">
                  <a:lumMod val="35000"/>
                  <a:lumOff val="65000"/>
                </a:schemeClr>
              </a:solidFill>
              <a:round/>
            </a:ln>
            <a:effectLst/>
          </c:spPr>
        </c:serLines>
      </c:ofPieChart>
      <c:spPr>
        <a:noFill/>
        <a:ln>
          <a:noFill/>
        </a:ln>
        <a:effectLst/>
      </c:spPr>
    </c:plotArea>
    <c:legend>
      <c:legendPos val="b"/>
      <c:layout>
        <c:manualLayout>
          <c:xMode val="edge"/>
          <c:yMode val="edge"/>
          <c:x val="8.7721138193793263E-3"/>
          <c:y val="0.83517414367024589"/>
          <c:w val="0.98106096255603925"/>
          <c:h val="0.1489588361186686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bg2">
                    <a:lumMod val="25000"/>
                  </a:schemeClr>
                </a:solidFill>
                <a:latin typeface="+mn-lt"/>
                <a:ea typeface="+mn-ea"/>
                <a:cs typeface="+mn-cs"/>
              </a:defRPr>
            </a:pPr>
            <a:r>
              <a:rPr lang="en-US" sz="1800" b="1" i="0" baseline="0">
                <a:solidFill>
                  <a:schemeClr val="bg2">
                    <a:lumMod val="25000"/>
                  </a:schemeClr>
                </a:solidFill>
                <a:effectLst/>
              </a:rPr>
              <a:t>Scope 3 GHG Emissions by Category</a:t>
            </a:r>
            <a:endParaRPr lang="en-US">
              <a:solidFill>
                <a:schemeClr val="bg2">
                  <a:lumMod val="25000"/>
                </a:schemeClr>
              </a:solidFill>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bg2">
                  <a:lumMod val="25000"/>
                </a:schemeClr>
              </a:solidFill>
              <a:latin typeface="+mn-lt"/>
              <a:ea typeface="+mn-ea"/>
              <a:cs typeface="+mn-cs"/>
            </a:defRPr>
          </a:pPr>
          <a:endParaRPr lang="en-US"/>
        </a:p>
      </c:txPr>
    </c:title>
    <c:autoTitleDeleted val="0"/>
    <c:plotArea>
      <c:layout>
        <c:manualLayout>
          <c:layoutTarget val="inner"/>
          <c:xMode val="edge"/>
          <c:yMode val="edge"/>
          <c:x val="0.42088890474519908"/>
          <c:y val="0.22557685278134937"/>
          <c:w val="0.53591685479517936"/>
          <c:h val="0.74891589618457532"/>
        </c:manualLayout>
      </c:layout>
      <c:barChart>
        <c:barDir val="bar"/>
        <c:grouping val="clustered"/>
        <c:varyColors val="1"/>
        <c:ser>
          <c:idx val="0"/>
          <c:order val="0"/>
          <c:spPr>
            <a:gradFill flip="none" rotWithShape="1">
              <a:gsLst>
                <a:gs pos="0">
                  <a:srgbClr val="00B0F0"/>
                </a:gs>
                <a:gs pos="74000">
                  <a:schemeClr val="accent1">
                    <a:lumMod val="45000"/>
                    <a:lumOff val="55000"/>
                  </a:schemeClr>
                </a:gs>
                <a:gs pos="83000">
                  <a:schemeClr val="accent1">
                    <a:lumMod val="45000"/>
                    <a:lumOff val="55000"/>
                  </a:schemeClr>
                </a:gs>
                <a:gs pos="100000">
                  <a:schemeClr val="accent1">
                    <a:lumMod val="30000"/>
                    <a:lumOff val="70000"/>
                  </a:schemeClr>
                </a:gs>
              </a:gsLst>
              <a:lin ang="10800000" scaled="1"/>
              <a:tileRect/>
            </a:gradFill>
          </c:spPr>
          <c:invertIfNegative val="0"/>
          <c:dPt>
            <c:idx val="0"/>
            <c:invertIfNegative val="0"/>
            <c:bubble3D val="0"/>
            <c:spPr>
              <a:gradFill flip="none" rotWithShape="1">
                <a:gsLst>
                  <a:gs pos="0">
                    <a:srgbClr val="00B0F0"/>
                  </a:gs>
                  <a:gs pos="74000">
                    <a:schemeClr val="accent1">
                      <a:lumMod val="45000"/>
                      <a:lumOff val="55000"/>
                    </a:schemeClr>
                  </a:gs>
                  <a:gs pos="83000">
                    <a:schemeClr val="accent1">
                      <a:lumMod val="45000"/>
                      <a:lumOff val="55000"/>
                    </a:schemeClr>
                  </a:gs>
                  <a:gs pos="100000">
                    <a:schemeClr val="accent1">
                      <a:lumMod val="30000"/>
                      <a:lumOff val="70000"/>
                    </a:schemeClr>
                  </a:gs>
                </a:gsLst>
                <a:lin ang="10800000" scaled="1"/>
                <a:tileRect/>
              </a:gradFill>
              <a:ln>
                <a:noFill/>
              </a:ln>
              <a:effectLst/>
            </c:spPr>
            <c:extLst>
              <c:ext xmlns:c16="http://schemas.microsoft.com/office/drawing/2014/chart" uri="{C3380CC4-5D6E-409C-BE32-E72D297353CC}">
                <c16:uniqueId val="{00000001-F545-48CE-A5C7-76FD62DFB124}"/>
              </c:ext>
            </c:extLst>
          </c:dPt>
          <c:dPt>
            <c:idx val="1"/>
            <c:invertIfNegative val="0"/>
            <c:bubble3D val="0"/>
            <c:spPr>
              <a:gradFill flip="none" rotWithShape="1">
                <a:gsLst>
                  <a:gs pos="0">
                    <a:srgbClr val="00B0F0"/>
                  </a:gs>
                  <a:gs pos="74000">
                    <a:schemeClr val="accent1">
                      <a:lumMod val="45000"/>
                      <a:lumOff val="55000"/>
                    </a:schemeClr>
                  </a:gs>
                  <a:gs pos="83000">
                    <a:schemeClr val="accent1">
                      <a:lumMod val="45000"/>
                      <a:lumOff val="55000"/>
                    </a:schemeClr>
                  </a:gs>
                  <a:gs pos="100000">
                    <a:schemeClr val="accent1">
                      <a:lumMod val="30000"/>
                      <a:lumOff val="70000"/>
                    </a:schemeClr>
                  </a:gs>
                </a:gsLst>
                <a:lin ang="10800000" scaled="1"/>
                <a:tileRect/>
              </a:gradFill>
              <a:ln>
                <a:noFill/>
              </a:ln>
              <a:effectLst/>
            </c:spPr>
            <c:extLst>
              <c:ext xmlns:c16="http://schemas.microsoft.com/office/drawing/2014/chart" uri="{C3380CC4-5D6E-409C-BE32-E72D297353CC}">
                <c16:uniqueId val="{00000003-F545-48CE-A5C7-76FD62DFB124}"/>
              </c:ext>
            </c:extLst>
          </c:dPt>
          <c:dPt>
            <c:idx val="2"/>
            <c:invertIfNegative val="0"/>
            <c:bubble3D val="0"/>
            <c:spPr>
              <a:gradFill flip="none" rotWithShape="1">
                <a:gsLst>
                  <a:gs pos="0">
                    <a:srgbClr val="00B0F0"/>
                  </a:gs>
                  <a:gs pos="74000">
                    <a:schemeClr val="accent1">
                      <a:lumMod val="45000"/>
                      <a:lumOff val="55000"/>
                    </a:schemeClr>
                  </a:gs>
                  <a:gs pos="83000">
                    <a:schemeClr val="accent1">
                      <a:lumMod val="45000"/>
                      <a:lumOff val="55000"/>
                    </a:schemeClr>
                  </a:gs>
                  <a:gs pos="100000">
                    <a:schemeClr val="accent1">
                      <a:lumMod val="30000"/>
                      <a:lumOff val="70000"/>
                    </a:schemeClr>
                  </a:gs>
                </a:gsLst>
                <a:lin ang="10800000" scaled="1"/>
                <a:tileRect/>
              </a:gradFill>
              <a:ln>
                <a:noFill/>
              </a:ln>
              <a:effectLst/>
            </c:spPr>
            <c:extLst>
              <c:ext xmlns:c16="http://schemas.microsoft.com/office/drawing/2014/chart" uri="{C3380CC4-5D6E-409C-BE32-E72D297353CC}">
                <c16:uniqueId val="{00000005-F545-48CE-A5C7-76FD62DFB124}"/>
              </c:ext>
            </c:extLst>
          </c:dPt>
          <c:dPt>
            <c:idx val="3"/>
            <c:invertIfNegative val="0"/>
            <c:bubble3D val="0"/>
            <c:spPr>
              <a:gradFill flip="none" rotWithShape="1">
                <a:gsLst>
                  <a:gs pos="0">
                    <a:srgbClr val="00B0F0"/>
                  </a:gs>
                  <a:gs pos="74000">
                    <a:schemeClr val="accent1">
                      <a:lumMod val="45000"/>
                      <a:lumOff val="55000"/>
                    </a:schemeClr>
                  </a:gs>
                  <a:gs pos="83000">
                    <a:schemeClr val="accent1">
                      <a:lumMod val="45000"/>
                      <a:lumOff val="55000"/>
                    </a:schemeClr>
                  </a:gs>
                  <a:gs pos="100000">
                    <a:schemeClr val="accent1">
                      <a:lumMod val="30000"/>
                      <a:lumOff val="70000"/>
                    </a:schemeClr>
                  </a:gs>
                </a:gsLst>
                <a:lin ang="10800000" scaled="1"/>
                <a:tileRect/>
              </a:gradFill>
              <a:ln>
                <a:noFill/>
              </a:ln>
              <a:effectLst/>
            </c:spPr>
            <c:extLst>
              <c:ext xmlns:c16="http://schemas.microsoft.com/office/drawing/2014/chart" uri="{C3380CC4-5D6E-409C-BE32-E72D297353CC}">
                <c16:uniqueId val="{00000007-F545-48CE-A5C7-76FD62DFB124}"/>
              </c:ext>
            </c:extLst>
          </c:dPt>
          <c:dPt>
            <c:idx val="4"/>
            <c:invertIfNegative val="0"/>
            <c:bubble3D val="0"/>
            <c:spPr>
              <a:gradFill flip="none" rotWithShape="1">
                <a:gsLst>
                  <a:gs pos="0">
                    <a:srgbClr val="00B0F0"/>
                  </a:gs>
                  <a:gs pos="74000">
                    <a:schemeClr val="accent1">
                      <a:lumMod val="45000"/>
                      <a:lumOff val="55000"/>
                    </a:schemeClr>
                  </a:gs>
                  <a:gs pos="83000">
                    <a:schemeClr val="accent1">
                      <a:lumMod val="45000"/>
                      <a:lumOff val="55000"/>
                    </a:schemeClr>
                  </a:gs>
                  <a:gs pos="100000">
                    <a:schemeClr val="accent1">
                      <a:lumMod val="30000"/>
                      <a:lumOff val="70000"/>
                    </a:schemeClr>
                  </a:gs>
                </a:gsLst>
                <a:lin ang="10800000" scaled="1"/>
                <a:tileRect/>
              </a:gradFill>
              <a:ln>
                <a:noFill/>
              </a:ln>
              <a:effectLst/>
            </c:spPr>
            <c:extLst>
              <c:ext xmlns:c16="http://schemas.microsoft.com/office/drawing/2014/chart" uri="{C3380CC4-5D6E-409C-BE32-E72D297353CC}">
                <c16:uniqueId val="{00000009-F545-48CE-A5C7-76FD62DFB124}"/>
              </c:ext>
            </c:extLst>
          </c:dPt>
          <c:dPt>
            <c:idx val="5"/>
            <c:invertIfNegative val="0"/>
            <c:bubble3D val="0"/>
            <c:spPr>
              <a:gradFill flip="none" rotWithShape="1">
                <a:gsLst>
                  <a:gs pos="0">
                    <a:srgbClr val="00B0F0"/>
                  </a:gs>
                  <a:gs pos="74000">
                    <a:schemeClr val="accent1">
                      <a:lumMod val="45000"/>
                      <a:lumOff val="55000"/>
                    </a:schemeClr>
                  </a:gs>
                  <a:gs pos="83000">
                    <a:schemeClr val="accent1">
                      <a:lumMod val="45000"/>
                      <a:lumOff val="55000"/>
                    </a:schemeClr>
                  </a:gs>
                  <a:gs pos="100000">
                    <a:schemeClr val="accent1">
                      <a:lumMod val="30000"/>
                      <a:lumOff val="70000"/>
                    </a:schemeClr>
                  </a:gs>
                </a:gsLst>
                <a:lin ang="10800000" scaled="1"/>
                <a:tileRect/>
              </a:gradFill>
              <a:ln>
                <a:noFill/>
              </a:ln>
              <a:effectLst/>
            </c:spPr>
            <c:extLst>
              <c:ext xmlns:c16="http://schemas.microsoft.com/office/drawing/2014/chart" uri="{C3380CC4-5D6E-409C-BE32-E72D297353CC}">
                <c16:uniqueId val="{0000000B-F545-48CE-A5C7-76FD62DFB124}"/>
              </c:ext>
            </c:extLst>
          </c:dPt>
          <c:dPt>
            <c:idx val="6"/>
            <c:invertIfNegative val="0"/>
            <c:bubble3D val="0"/>
            <c:spPr>
              <a:gradFill flip="none" rotWithShape="1">
                <a:gsLst>
                  <a:gs pos="0">
                    <a:srgbClr val="00B0F0"/>
                  </a:gs>
                  <a:gs pos="74000">
                    <a:schemeClr val="accent1">
                      <a:lumMod val="45000"/>
                      <a:lumOff val="55000"/>
                    </a:schemeClr>
                  </a:gs>
                  <a:gs pos="83000">
                    <a:schemeClr val="accent1">
                      <a:lumMod val="45000"/>
                      <a:lumOff val="55000"/>
                    </a:schemeClr>
                  </a:gs>
                  <a:gs pos="100000">
                    <a:schemeClr val="accent1">
                      <a:lumMod val="30000"/>
                      <a:lumOff val="70000"/>
                    </a:schemeClr>
                  </a:gs>
                </a:gsLst>
                <a:lin ang="10800000" scaled="1"/>
                <a:tileRect/>
              </a:gradFill>
              <a:ln>
                <a:noFill/>
              </a:ln>
              <a:effectLst/>
            </c:spPr>
            <c:extLst>
              <c:ext xmlns:c16="http://schemas.microsoft.com/office/drawing/2014/chart" uri="{C3380CC4-5D6E-409C-BE32-E72D297353CC}">
                <c16:uniqueId val="{0000000D-F545-48CE-A5C7-76FD62DFB124}"/>
              </c:ext>
            </c:extLst>
          </c:dPt>
          <c:dPt>
            <c:idx val="7"/>
            <c:invertIfNegative val="0"/>
            <c:bubble3D val="0"/>
            <c:spPr>
              <a:gradFill flip="none" rotWithShape="1">
                <a:gsLst>
                  <a:gs pos="0">
                    <a:srgbClr val="00B0F0"/>
                  </a:gs>
                  <a:gs pos="74000">
                    <a:schemeClr val="accent1">
                      <a:lumMod val="45000"/>
                      <a:lumOff val="55000"/>
                    </a:schemeClr>
                  </a:gs>
                  <a:gs pos="83000">
                    <a:schemeClr val="accent1">
                      <a:lumMod val="45000"/>
                      <a:lumOff val="55000"/>
                    </a:schemeClr>
                  </a:gs>
                  <a:gs pos="100000">
                    <a:schemeClr val="accent1">
                      <a:lumMod val="30000"/>
                      <a:lumOff val="70000"/>
                    </a:schemeClr>
                  </a:gs>
                </a:gsLst>
                <a:lin ang="10800000" scaled="1"/>
                <a:tileRect/>
              </a:gradFill>
              <a:ln>
                <a:noFill/>
              </a:ln>
              <a:effectLst/>
            </c:spPr>
            <c:extLst>
              <c:ext xmlns:c16="http://schemas.microsoft.com/office/drawing/2014/chart" uri="{C3380CC4-5D6E-409C-BE32-E72D297353CC}">
                <c16:uniqueId val="{0000000F-F545-48CE-A5C7-76FD62DFB124}"/>
              </c:ext>
            </c:extLst>
          </c:dPt>
          <c:dPt>
            <c:idx val="8"/>
            <c:invertIfNegative val="0"/>
            <c:bubble3D val="0"/>
            <c:spPr>
              <a:gradFill flip="none" rotWithShape="1">
                <a:gsLst>
                  <a:gs pos="0">
                    <a:srgbClr val="00B0F0"/>
                  </a:gs>
                  <a:gs pos="74000">
                    <a:schemeClr val="accent1">
                      <a:lumMod val="45000"/>
                      <a:lumOff val="55000"/>
                    </a:schemeClr>
                  </a:gs>
                  <a:gs pos="83000">
                    <a:schemeClr val="accent1">
                      <a:lumMod val="45000"/>
                      <a:lumOff val="55000"/>
                    </a:schemeClr>
                  </a:gs>
                  <a:gs pos="100000">
                    <a:schemeClr val="accent1">
                      <a:lumMod val="30000"/>
                      <a:lumOff val="70000"/>
                    </a:schemeClr>
                  </a:gs>
                </a:gsLst>
                <a:lin ang="10800000" scaled="1"/>
                <a:tileRect/>
              </a:gradFill>
              <a:ln>
                <a:noFill/>
              </a:ln>
              <a:effectLst/>
            </c:spPr>
            <c:extLst>
              <c:ext xmlns:c16="http://schemas.microsoft.com/office/drawing/2014/chart" uri="{C3380CC4-5D6E-409C-BE32-E72D297353CC}">
                <c16:uniqueId val="{00000011-F545-48CE-A5C7-76FD62DFB124}"/>
              </c:ext>
            </c:extLst>
          </c:dPt>
          <c:dPt>
            <c:idx val="9"/>
            <c:invertIfNegative val="0"/>
            <c:bubble3D val="0"/>
            <c:spPr>
              <a:gradFill flip="none" rotWithShape="1">
                <a:gsLst>
                  <a:gs pos="0">
                    <a:srgbClr val="00B0F0"/>
                  </a:gs>
                  <a:gs pos="74000">
                    <a:schemeClr val="accent1">
                      <a:lumMod val="45000"/>
                      <a:lumOff val="55000"/>
                    </a:schemeClr>
                  </a:gs>
                  <a:gs pos="83000">
                    <a:schemeClr val="accent1">
                      <a:lumMod val="45000"/>
                      <a:lumOff val="55000"/>
                    </a:schemeClr>
                  </a:gs>
                  <a:gs pos="100000">
                    <a:schemeClr val="accent1">
                      <a:lumMod val="30000"/>
                      <a:lumOff val="70000"/>
                    </a:schemeClr>
                  </a:gs>
                </a:gsLst>
                <a:lin ang="10800000" scaled="1"/>
                <a:tileRect/>
              </a:gradFill>
              <a:ln>
                <a:noFill/>
              </a:ln>
              <a:effectLst/>
            </c:spPr>
            <c:extLst>
              <c:ext xmlns:c16="http://schemas.microsoft.com/office/drawing/2014/chart" uri="{C3380CC4-5D6E-409C-BE32-E72D297353CC}">
                <c16:uniqueId val="{00000013-F545-48CE-A5C7-76FD62DFB124}"/>
              </c:ext>
            </c:extLst>
          </c:dPt>
          <c:dPt>
            <c:idx val="10"/>
            <c:invertIfNegative val="0"/>
            <c:bubble3D val="0"/>
            <c:spPr>
              <a:gradFill flip="none" rotWithShape="1">
                <a:gsLst>
                  <a:gs pos="0">
                    <a:srgbClr val="00B0F0"/>
                  </a:gs>
                  <a:gs pos="74000">
                    <a:schemeClr val="accent1">
                      <a:lumMod val="45000"/>
                      <a:lumOff val="55000"/>
                    </a:schemeClr>
                  </a:gs>
                  <a:gs pos="83000">
                    <a:schemeClr val="accent1">
                      <a:lumMod val="45000"/>
                      <a:lumOff val="55000"/>
                    </a:schemeClr>
                  </a:gs>
                  <a:gs pos="100000">
                    <a:schemeClr val="accent1">
                      <a:lumMod val="30000"/>
                      <a:lumOff val="70000"/>
                    </a:schemeClr>
                  </a:gs>
                </a:gsLst>
                <a:lin ang="10800000" scaled="1"/>
                <a:tileRect/>
              </a:gradFill>
              <a:ln>
                <a:noFill/>
              </a:ln>
              <a:effectLst/>
            </c:spPr>
            <c:extLst>
              <c:ext xmlns:c16="http://schemas.microsoft.com/office/drawing/2014/chart" uri="{C3380CC4-5D6E-409C-BE32-E72D297353CC}">
                <c16:uniqueId val="{00000015-F545-48CE-A5C7-76FD62DFB124}"/>
              </c:ext>
            </c:extLst>
          </c:dPt>
          <c:dPt>
            <c:idx val="11"/>
            <c:invertIfNegative val="0"/>
            <c:bubble3D val="0"/>
            <c:spPr>
              <a:gradFill flip="none" rotWithShape="1">
                <a:gsLst>
                  <a:gs pos="0">
                    <a:srgbClr val="00B0F0"/>
                  </a:gs>
                  <a:gs pos="74000">
                    <a:schemeClr val="accent1">
                      <a:lumMod val="45000"/>
                      <a:lumOff val="55000"/>
                    </a:schemeClr>
                  </a:gs>
                  <a:gs pos="83000">
                    <a:schemeClr val="accent1">
                      <a:lumMod val="45000"/>
                      <a:lumOff val="55000"/>
                    </a:schemeClr>
                  </a:gs>
                  <a:gs pos="100000">
                    <a:schemeClr val="accent1">
                      <a:lumMod val="30000"/>
                      <a:lumOff val="70000"/>
                    </a:schemeClr>
                  </a:gs>
                </a:gsLst>
                <a:lin ang="10800000" scaled="1"/>
                <a:tileRect/>
              </a:gradFill>
              <a:ln>
                <a:noFill/>
              </a:ln>
              <a:effectLst/>
            </c:spPr>
            <c:extLst>
              <c:ext xmlns:c16="http://schemas.microsoft.com/office/drawing/2014/chart" uri="{C3380CC4-5D6E-409C-BE32-E72D297353CC}">
                <c16:uniqueId val="{00000017-F545-48CE-A5C7-76FD62DFB124}"/>
              </c:ext>
            </c:extLst>
          </c:dPt>
          <c:dPt>
            <c:idx val="12"/>
            <c:invertIfNegative val="0"/>
            <c:bubble3D val="0"/>
            <c:spPr>
              <a:gradFill flip="none" rotWithShape="1">
                <a:gsLst>
                  <a:gs pos="0">
                    <a:srgbClr val="00B0F0"/>
                  </a:gs>
                  <a:gs pos="74000">
                    <a:schemeClr val="accent1">
                      <a:lumMod val="45000"/>
                      <a:lumOff val="55000"/>
                    </a:schemeClr>
                  </a:gs>
                  <a:gs pos="83000">
                    <a:schemeClr val="accent1">
                      <a:lumMod val="45000"/>
                      <a:lumOff val="55000"/>
                    </a:schemeClr>
                  </a:gs>
                  <a:gs pos="100000">
                    <a:schemeClr val="accent1">
                      <a:lumMod val="30000"/>
                      <a:lumOff val="70000"/>
                    </a:schemeClr>
                  </a:gs>
                </a:gsLst>
                <a:lin ang="10800000" scaled="1"/>
                <a:tileRect/>
              </a:gradFill>
              <a:ln>
                <a:noFill/>
              </a:ln>
              <a:effectLst/>
            </c:spPr>
            <c:extLst>
              <c:ext xmlns:c16="http://schemas.microsoft.com/office/drawing/2014/chart" uri="{C3380CC4-5D6E-409C-BE32-E72D297353CC}">
                <c16:uniqueId val="{00000019-F545-48CE-A5C7-76FD62DFB124}"/>
              </c:ext>
            </c:extLst>
          </c:dPt>
          <c:dPt>
            <c:idx val="13"/>
            <c:invertIfNegative val="0"/>
            <c:bubble3D val="0"/>
            <c:spPr>
              <a:gradFill flip="none" rotWithShape="1">
                <a:gsLst>
                  <a:gs pos="0">
                    <a:srgbClr val="00B0F0"/>
                  </a:gs>
                  <a:gs pos="74000">
                    <a:schemeClr val="accent1">
                      <a:lumMod val="45000"/>
                      <a:lumOff val="55000"/>
                    </a:schemeClr>
                  </a:gs>
                  <a:gs pos="83000">
                    <a:schemeClr val="accent1">
                      <a:lumMod val="45000"/>
                      <a:lumOff val="55000"/>
                    </a:schemeClr>
                  </a:gs>
                  <a:gs pos="100000">
                    <a:schemeClr val="accent1">
                      <a:lumMod val="30000"/>
                      <a:lumOff val="70000"/>
                    </a:schemeClr>
                  </a:gs>
                </a:gsLst>
                <a:lin ang="10800000" scaled="1"/>
                <a:tileRect/>
              </a:gradFill>
              <a:ln>
                <a:noFill/>
              </a:ln>
              <a:effectLst/>
            </c:spPr>
            <c:extLst>
              <c:ext xmlns:c16="http://schemas.microsoft.com/office/drawing/2014/chart" uri="{C3380CC4-5D6E-409C-BE32-E72D297353CC}">
                <c16:uniqueId val="{0000001B-F545-48CE-A5C7-76FD62DFB124}"/>
              </c:ext>
            </c:extLst>
          </c:dPt>
          <c:dPt>
            <c:idx val="14"/>
            <c:invertIfNegative val="0"/>
            <c:bubble3D val="0"/>
            <c:spPr>
              <a:gradFill flip="none" rotWithShape="1">
                <a:gsLst>
                  <a:gs pos="0">
                    <a:srgbClr val="00B0F0"/>
                  </a:gs>
                  <a:gs pos="74000">
                    <a:schemeClr val="accent1">
                      <a:lumMod val="45000"/>
                      <a:lumOff val="55000"/>
                    </a:schemeClr>
                  </a:gs>
                  <a:gs pos="83000">
                    <a:schemeClr val="accent1">
                      <a:lumMod val="45000"/>
                      <a:lumOff val="55000"/>
                    </a:schemeClr>
                  </a:gs>
                  <a:gs pos="100000">
                    <a:schemeClr val="accent1">
                      <a:lumMod val="30000"/>
                      <a:lumOff val="70000"/>
                    </a:schemeClr>
                  </a:gs>
                </a:gsLst>
                <a:lin ang="10800000" scaled="1"/>
                <a:tileRect/>
              </a:gradFill>
              <a:ln>
                <a:noFill/>
              </a:ln>
              <a:effectLst/>
            </c:spPr>
            <c:extLst>
              <c:ext xmlns:c16="http://schemas.microsoft.com/office/drawing/2014/chart" uri="{C3380CC4-5D6E-409C-BE32-E72D297353CC}">
                <c16:uniqueId val="{0000001D-F545-48CE-A5C7-76FD62DFB124}"/>
              </c:ext>
            </c:extLst>
          </c:dPt>
          <c:cat>
            <c:strRef>
              <c:f>'Scope 3 Summary'!$D$20:$D$34</c:f>
              <c:strCache>
                <c:ptCount val="15"/>
                <c:pt idx="0">
                  <c:v>Purchased goods &amp; services</c:v>
                </c:pt>
                <c:pt idx="1">
                  <c:v>Capital goods</c:v>
                </c:pt>
                <c:pt idx="2">
                  <c:v>Fuel- &amp; energy-related emissions</c:v>
                </c:pt>
                <c:pt idx="3">
                  <c:v>Upstream transportation &amp; distribution</c:v>
                </c:pt>
                <c:pt idx="4">
                  <c:v>Waste generated in operations</c:v>
                </c:pt>
                <c:pt idx="5">
                  <c:v>Business travel</c:v>
                </c:pt>
                <c:pt idx="6">
                  <c:v>Employee commuting</c:v>
                </c:pt>
                <c:pt idx="7">
                  <c:v>Upstream leased assets</c:v>
                </c:pt>
                <c:pt idx="8">
                  <c:v>Downstream transportation &amp; distribution
[Patient Visits &amp; Telehealth]</c:v>
                </c:pt>
                <c:pt idx="9">
                  <c:v>Processing of sold products</c:v>
                </c:pt>
                <c:pt idx="10">
                  <c:v>Use of sold products</c:v>
                </c:pt>
                <c:pt idx="11">
                  <c:v>End-of-life treatment of sold products</c:v>
                </c:pt>
                <c:pt idx="12">
                  <c:v>Downstream leased assets</c:v>
                </c:pt>
                <c:pt idx="13">
                  <c:v>Franchises</c:v>
                </c:pt>
                <c:pt idx="14">
                  <c:v>Investments</c:v>
                </c:pt>
              </c:strCache>
            </c:strRef>
          </c:cat>
          <c:val>
            <c:numRef>
              <c:f>'Scope 3 Summary'!$E$20:$E$34</c:f>
              <c:numCache>
                <c:formatCode>#,##0</c:formatCode>
                <c:ptCount val="15"/>
                <c:pt idx="0">
                  <c:v>0</c:v>
                </c:pt>
                <c:pt idx="1">
                  <c:v>0</c:v>
                </c:pt>
                <c:pt idx="2">
                  <c:v>4645.4736823110006</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1E-F545-48CE-A5C7-76FD62DFB124}"/>
            </c:ext>
          </c:extLst>
        </c:ser>
        <c:dLbls>
          <c:showLegendKey val="0"/>
          <c:showVal val="0"/>
          <c:showCatName val="0"/>
          <c:showSerName val="0"/>
          <c:showPercent val="0"/>
          <c:showBubbleSize val="0"/>
        </c:dLbls>
        <c:gapWidth val="30"/>
        <c:axId val="1051930632"/>
        <c:axId val="1051926040"/>
      </c:barChart>
      <c:catAx>
        <c:axId val="1051930632"/>
        <c:scaling>
          <c:orientation val="maxMin"/>
        </c:scaling>
        <c:delete val="0"/>
        <c:axPos val="l"/>
        <c:title>
          <c:tx>
            <c:rich>
              <a:bodyPr rot="-5400000" spcFirstLastPara="1" vertOverflow="ellipsis" vert="horz" wrap="square" anchor="ctr" anchorCtr="1"/>
              <a:lstStyle/>
              <a:p>
                <a:pPr algn="ctr" rtl="0">
                  <a:defRPr lang="en-US" sz="1600" b="1" i="0" u="none" strike="noStrike" kern="1200" spc="0" baseline="0">
                    <a:solidFill>
                      <a:schemeClr val="bg2">
                        <a:lumMod val="25000"/>
                      </a:schemeClr>
                    </a:solidFill>
                    <a:effectLst/>
                    <a:latin typeface="+mn-lt"/>
                    <a:ea typeface="+mn-ea"/>
                    <a:cs typeface="+mn-cs"/>
                  </a:defRPr>
                </a:pPr>
                <a:r>
                  <a:rPr lang="en-US" sz="1600" b="1" i="0" u="none" strike="noStrike" kern="1200" spc="0" baseline="0">
                    <a:solidFill>
                      <a:schemeClr val="bg2">
                        <a:lumMod val="25000"/>
                      </a:schemeClr>
                    </a:solidFill>
                    <a:effectLst/>
                    <a:latin typeface="+mn-lt"/>
                    <a:ea typeface="+mn-ea"/>
                    <a:cs typeface="+mn-cs"/>
                  </a:rPr>
                  <a:t>Scope 3 Category</a:t>
                </a:r>
              </a:p>
            </c:rich>
          </c:tx>
          <c:layout>
            <c:manualLayout>
              <c:xMode val="edge"/>
              <c:yMode val="edge"/>
              <c:x val="2.7312053724702304E-2"/>
              <c:y val="0.38735855526345869"/>
            </c:manualLayout>
          </c:layout>
          <c:overlay val="0"/>
          <c:spPr>
            <a:noFill/>
            <a:ln>
              <a:noFill/>
            </a:ln>
            <a:effectLst/>
          </c:spPr>
          <c:txPr>
            <a:bodyPr rot="-5400000" spcFirstLastPara="1" vertOverflow="ellipsis" vert="horz" wrap="square" anchor="ctr" anchorCtr="1"/>
            <a:lstStyle/>
            <a:p>
              <a:pPr algn="ctr" rtl="0">
                <a:defRPr lang="en-US" sz="1600" b="1" i="0" u="none" strike="noStrike" kern="1200" spc="0" baseline="0">
                  <a:solidFill>
                    <a:schemeClr val="bg2">
                      <a:lumMod val="25000"/>
                    </a:schemeClr>
                  </a:solidFill>
                  <a:effectLst/>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bg2">
                    <a:lumMod val="25000"/>
                  </a:schemeClr>
                </a:solidFill>
                <a:latin typeface="+mn-lt"/>
                <a:ea typeface="+mn-ea"/>
                <a:cs typeface="+mn-cs"/>
              </a:defRPr>
            </a:pPr>
            <a:endParaRPr lang="en-US"/>
          </a:p>
        </c:txPr>
        <c:crossAx val="1051926040"/>
        <c:crosses val="autoZero"/>
        <c:auto val="1"/>
        <c:lblAlgn val="ctr"/>
        <c:lblOffset val="100"/>
        <c:noMultiLvlLbl val="0"/>
      </c:catAx>
      <c:valAx>
        <c:axId val="1051926040"/>
        <c:scaling>
          <c:orientation val="minMax"/>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1" i="0" u="none" strike="noStrike" kern="1200" baseline="0">
                    <a:solidFill>
                      <a:schemeClr val="bg2">
                        <a:lumMod val="25000"/>
                      </a:schemeClr>
                    </a:solidFill>
                    <a:latin typeface="+mn-lt"/>
                    <a:ea typeface="+mn-ea"/>
                    <a:cs typeface="+mn-cs"/>
                  </a:defRPr>
                </a:pPr>
                <a:r>
                  <a:rPr lang="en-US" sz="1100" b="1">
                    <a:solidFill>
                      <a:schemeClr val="bg2">
                        <a:lumMod val="25000"/>
                      </a:schemeClr>
                    </a:solidFill>
                  </a:rPr>
                  <a:t>Scope 3 GHG emissions (MTCO2e)</a:t>
                </a:r>
              </a:p>
            </c:rich>
          </c:tx>
          <c:layout>
            <c:manualLayout>
              <c:xMode val="edge"/>
              <c:yMode val="edge"/>
              <c:x val="0.50833722583724072"/>
              <c:y val="0.11856800065146651"/>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bg2">
                      <a:lumMod val="25000"/>
                    </a:schemeClr>
                  </a:solidFill>
                  <a:latin typeface="+mn-lt"/>
                  <a:ea typeface="+mn-ea"/>
                  <a:cs typeface="+mn-cs"/>
                </a:defRPr>
              </a:pPr>
              <a:endParaRPr lang="en-US"/>
            </a:p>
          </c:txPr>
        </c:title>
        <c:numFmt formatCode="#,##0" sourceLinked="0"/>
        <c:majorTickMark val="none"/>
        <c:minorTickMark val="none"/>
        <c:tickLblPos val="nextTo"/>
        <c:spPr>
          <a:noFill/>
          <a:ln>
            <a:solidFill>
              <a:schemeClr val="tx2">
                <a:alpha val="95000"/>
              </a:schemeClr>
            </a:solidFill>
          </a:ln>
          <a:effectLst/>
        </c:spPr>
        <c:txPr>
          <a:bodyPr rot="-60000000" spcFirstLastPara="1" vertOverflow="ellipsis" vert="horz" wrap="square" anchor="ctr" anchorCtr="1"/>
          <a:lstStyle/>
          <a:p>
            <a:pPr>
              <a:defRPr sz="1100" b="1" i="0" u="none" strike="noStrike" kern="1200" baseline="0">
                <a:solidFill>
                  <a:schemeClr val="bg2">
                    <a:lumMod val="25000"/>
                  </a:schemeClr>
                </a:solidFill>
                <a:latin typeface="+mn-lt"/>
                <a:ea typeface="+mn-ea"/>
                <a:cs typeface="+mn-cs"/>
              </a:defRPr>
            </a:pPr>
            <a:endParaRPr lang="en-US"/>
          </a:p>
        </c:txPr>
        <c:crossAx val="1051930632"/>
        <c:crosses val="autoZero"/>
        <c:crossBetween val="between"/>
        <c:dispUnits>
          <c:builtInUnit val="thousands"/>
          <c:dispUnitsLbl>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1.xml.rels><?xml version="1.0" encoding="UTF-8" standalone="yes"?>
<Relationships xmlns="http://schemas.openxmlformats.org/package/2006/relationships"><Relationship Id="rId3" Type="http://schemas.openxmlformats.org/officeDocument/2006/relationships/hyperlink" Target="#'inventory year and inflation'!A1"/><Relationship Id="rId2" Type="http://schemas.openxmlformats.org/officeDocument/2006/relationships/hyperlink" Target="#'Scope 3 Summary'!A1"/><Relationship Id="rId1" Type="http://schemas.openxmlformats.org/officeDocument/2006/relationships/hyperlink" Target="#Summary!A1"/><Relationship Id="rId6" Type="http://schemas.openxmlformats.org/officeDocument/2006/relationships/image" Target="../media/image18.jpeg"/><Relationship Id="rId5" Type="http://schemas.openxmlformats.org/officeDocument/2006/relationships/image" Target="../media/image17.png"/><Relationship Id="rId4" Type="http://schemas.openxmlformats.org/officeDocument/2006/relationships/hyperlink" Target="#'Reporting Year &amp; Inflation Adj.'!A1"/></Relationships>
</file>

<file path=xl/drawings/_rels/drawing12.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Summary!A1"/><Relationship Id="rId1" Type="http://schemas.openxmlformats.org/officeDocument/2006/relationships/chart" Target="../charts/chart4.xml"/><Relationship Id="rId4" Type="http://schemas.openxmlformats.org/officeDocument/2006/relationships/image" Target="../media/image19.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5" Type="http://schemas.openxmlformats.org/officeDocument/2006/relationships/image" Target="../media/image24.png"/><Relationship Id="rId4" Type="http://schemas.openxmlformats.org/officeDocument/2006/relationships/image" Target="../media/image2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jpg"/><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1" Type="http://schemas.openxmlformats.org/officeDocument/2006/relationships/hyperlink" Target="#Introduction!A1"/></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jp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2.jp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2.jp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2.jp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8" Type="http://schemas.openxmlformats.org/officeDocument/2006/relationships/image" Target="../media/image11.jpeg"/><Relationship Id="rId3" Type="http://schemas.openxmlformats.org/officeDocument/2006/relationships/image" Target="../media/image9.jpeg"/><Relationship Id="rId7" Type="http://schemas.openxmlformats.org/officeDocument/2006/relationships/image" Target="../media/image10.png"/><Relationship Id="rId2" Type="http://schemas.openxmlformats.org/officeDocument/2006/relationships/image" Target="../media/image2.jpg"/><Relationship Id="rId1" Type="http://schemas.openxmlformats.org/officeDocument/2006/relationships/image" Target="../media/image1.jpeg"/><Relationship Id="rId6" Type="http://schemas.openxmlformats.org/officeDocument/2006/relationships/chart" Target="../charts/chart3.xml"/><Relationship Id="rId5" Type="http://schemas.openxmlformats.org/officeDocument/2006/relationships/chart" Target="../charts/chart2.xml"/><Relationship Id="rId4" Type="http://schemas.openxmlformats.org/officeDocument/2006/relationships/chart" Target="../charts/chart1.xml"/></Relationships>
</file>

<file path=xl/drawings/_rels/drawing8.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2.jpg"/><Relationship Id="rId1" Type="http://schemas.openxmlformats.org/officeDocument/2006/relationships/image" Target="../media/image1.jpeg"/><Relationship Id="rId4" Type="http://schemas.openxmlformats.org/officeDocument/2006/relationships/image" Target="../media/image13.jpeg"/></Relationships>
</file>

<file path=xl/drawings/_rels/drawing9.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jpe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1</xdr:col>
      <xdr:colOff>1717863</xdr:colOff>
      <xdr:row>0</xdr:row>
      <xdr:rowOff>49737</xdr:rowOff>
    </xdr:from>
    <xdr:to>
      <xdr:col>2</xdr:col>
      <xdr:colOff>1763557</xdr:colOff>
      <xdr:row>0</xdr:row>
      <xdr:rowOff>1246841</xdr:rowOff>
    </xdr:to>
    <xdr:pic>
      <xdr:nvPicPr>
        <xdr:cNvPr id="2" name="Imagen 1">
          <a:extLst>
            <a:ext uri="{FF2B5EF4-FFF2-40B4-BE49-F238E27FC236}">
              <a16:creationId xmlns:a16="http://schemas.microsoft.com/office/drawing/2014/main" id="{8274735B-8C6A-459E-879C-CDA0C4DDD4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22688" y="49737"/>
          <a:ext cx="1998319" cy="1197104"/>
        </a:xfrm>
        <a:prstGeom prst="rect">
          <a:avLst/>
        </a:prstGeom>
      </xdr:spPr>
    </xdr:pic>
    <xdr:clientData/>
  </xdr:twoCellAnchor>
  <xdr:twoCellAnchor editAs="oneCell">
    <xdr:from>
      <xdr:col>1</xdr:col>
      <xdr:colOff>97117</xdr:colOff>
      <xdr:row>0</xdr:row>
      <xdr:rowOff>13074</xdr:rowOff>
    </xdr:from>
    <xdr:to>
      <xdr:col>1</xdr:col>
      <xdr:colOff>1326897</xdr:colOff>
      <xdr:row>0</xdr:row>
      <xdr:rowOff>1236504</xdr:rowOff>
    </xdr:to>
    <xdr:pic>
      <xdr:nvPicPr>
        <xdr:cNvPr id="3" name="Imagen 2">
          <a:extLst>
            <a:ext uri="{FF2B5EF4-FFF2-40B4-BE49-F238E27FC236}">
              <a16:creationId xmlns:a16="http://schemas.microsoft.com/office/drawing/2014/main" id="{46FAEA96-304C-463A-8A44-50FA3FE974C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1942" y="13074"/>
          <a:ext cx="1229780" cy="1223430"/>
        </a:xfrm>
        <a:prstGeom prst="rect">
          <a:avLst/>
        </a:prstGeom>
      </xdr:spPr>
    </xdr:pic>
    <xdr:clientData/>
  </xdr:twoCellAnchor>
  <xdr:twoCellAnchor editAs="oneCell">
    <xdr:from>
      <xdr:col>2</xdr:col>
      <xdr:colOff>1893095</xdr:colOff>
      <xdr:row>0</xdr:row>
      <xdr:rowOff>83346</xdr:rowOff>
    </xdr:from>
    <xdr:to>
      <xdr:col>2</xdr:col>
      <xdr:colOff>3131721</xdr:colOff>
      <xdr:row>0</xdr:row>
      <xdr:rowOff>1143001</xdr:rowOff>
    </xdr:to>
    <xdr:pic>
      <xdr:nvPicPr>
        <xdr:cNvPr id="4" name="Picture 3">
          <a:extLst>
            <a:ext uri="{FF2B5EF4-FFF2-40B4-BE49-F238E27FC236}">
              <a16:creationId xmlns:a16="http://schemas.microsoft.com/office/drawing/2014/main" id="{04F02F08-0A64-4366-8623-7EFE603533C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350545" y="83346"/>
          <a:ext cx="1238626" cy="105965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511812</xdr:colOff>
      <xdr:row>13</xdr:row>
      <xdr:rowOff>295274</xdr:rowOff>
    </xdr:from>
    <xdr:to>
      <xdr:col>9</xdr:col>
      <xdr:colOff>189313</xdr:colOff>
      <xdr:row>14</xdr:row>
      <xdr:rowOff>1202055</xdr:rowOff>
    </xdr:to>
    <xdr:pic>
      <xdr:nvPicPr>
        <xdr:cNvPr id="7" name="Picture 1">
          <a:extLst>
            <a:ext uri="{FF2B5EF4-FFF2-40B4-BE49-F238E27FC236}">
              <a16:creationId xmlns:a16="http://schemas.microsoft.com/office/drawing/2014/main" id="{91AAED05-21D9-B948-008F-4CD17FFD5392}"/>
            </a:ext>
          </a:extLst>
        </xdr:cNvPr>
        <xdr:cNvPicPr>
          <a:picLocks noChangeAspect="1"/>
        </xdr:cNvPicPr>
      </xdr:nvPicPr>
      <xdr:blipFill rotWithShape="1">
        <a:blip xmlns:r="http://schemas.openxmlformats.org/officeDocument/2006/relationships" r:embed="rId1"/>
        <a:srcRect l="549"/>
        <a:stretch>
          <a:fillRect/>
        </a:stretch>
      </xdr:blipFill>
      <xdr:spPr>
        <a:xfrm>
          <a:off x="5664837" y="3619499"/>
          <a:ext cx="3969466" cy="2247901"/>
        </a:xfrm>
        <a:prstGeom prst="rect">
          <a:avLst/>
        </a:prstGeom>
        <a:ln>
          <a:noFill/>
        </a:ln>
        <a:effectLst>
          <a:outerShdw blurRad="190500" algn="tl" rotWithShape="0">
            <a:srgbClr val="000000">
              <a:alpha val="70000"/>
            </a:srgbClr>
          </a:outerShdw>
        </a:effec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4</xdr:col>
      <xdr:colOff>0</xdr:colOff>
      <xdr:row>1</xdr:row>
      <xdr:rowOff>152400</xdr:rowOff>
    </xdr:from>
    <xdr:to>
      <xdr:col>4</xdr:col>
      <xdr:colOff>0</xdr:colOff>
      <xdr:row>7</xdr:row>
      <xdr:rowOff>76199</xdr:rowOff>
    </xdr:to>
    <xdr:sp macro="" textlink="">
      <xdr:nvSpPr>
        <xdr:cNvPr id="2" name="Rectangle: Rounded Corners 4">
          <a:hlinkClick xmlns:r="http://schemas.openxmlformats.org/officeDocument/2006/relationships" r:id="rId1"/>
          <a:extLst>
            <a:ext uri="{FF2B5EF4-FFF2-40B4-BE49-F238E27FC236}">
              <a16:creationId xmlns:a16="http://schemas.microsoft.com/office/drawing/2014/main" id="{6BBEE006-A4E2-44BC-B5BA-D5B81E676E4D}"/>
            </a:ext>
          </a:extLst>
        </xdr:cNvPr>
        <xdr:cNvSpPr/>
      </xdr:nvSpPr>
      <xdr:spPr>
        <a:xfrm>
          <a:off x="6905625" y="333375"/>
          <a:ext cx="0" cy="1009649"/>
        </a:xfrm>
        <a:prstGeom prst="roundRect">
          <a:avLst/>
        </a:prstGeom>
        <a:ln>
          <a:solidFill>
            <a:schemeClr val="accent3">
              <a:lumMod val="50000"/>
            </a:schemeClr>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n-US" sz="1800" b="1" i="1">
              <a:solidFill>
                <a:sysClr val="windowText" lastClr="000000"/>
              </a:solidFill>
            </a:rPr>
            <a:t>Summary  of Results</a:t>
          </a:r>
        </a:p>
      </xdr:txBody>
    </xdr:sp>
    <xdr:clientData/>
  </xdr:twoCellAnchor>
  <xdr:twoCellAnchor>
    <xdr:from>
      <xdr:col>4</xdr:col>
      <xdr:colOff>2770592</xdr:colOff>
      <xdr:row>1</xdr:row>
      <xdr:rowOff>153085</xdr:rowOff>
    </xdr:from>
    <xdr:to>
      <xdr:col>4</xdr:col>
      <xdr:colOff>4207350</xdr:colOff>
      <xdr:row>7</xdr:row>
      <xdr:rowOff>76884</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7B92A905-34F0-4FCA-AA7B-B1C7A4F7241E}"/>
            </a:ext>
          </a:extLst>
        </xdr:cNvPr>
        <xdr:cNvSpPr/>
      </xdr:nvSpPr>
      <xdr:spPr>
        <a:xfrm>
          <a:off x="9676217" y="334060"/>
          <a:ext cx="1436758" cy="1009649"/>
        </a:xfrm>
        <a:prstGeom prst="roundRect">
          <a:avLst/>
        </a:prstGeom>
        <a:solidFill>
          <a:srgbClr val="00B0F0"/>
        </a:solidFill>
        <a:ln>
          <a:solidFill>
            <a:schemeClr val="accent3">
              <a:lumMod val="50000"/>
            </a:schemeClr>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n-US" sz="1800" b="1" i="1">
              <a:solidFill>
                <a:sysClr val="windowText" lastClr="000000"/>
              </a:solidFill>
            </a:rPr>
            <a:t>Summary of Results</a:t>
          </a:r>
        </a:p>
      </xdr:txBody>
    </xdr:sp>
    <xdr:clientData/>
  </xdr:twoCellAnchor>
  <xdr:twoCellAnchor>
    <xdr:from>
      <xdr:col>3</xdr:col>
      <xdr:colOff>1524000</xdr:colOff>
      <xdr:row>0</xdr:row>
      <xdr:rowOff>158751</xdr:rowOff>
    </xdr:from>
    <xdr:to>
      <xdr:col>4</xdr:col>
      <xdr:colOff>1467279</xdr:colOff>
      <xdr:row>8</xdr:row>
      <xdr:rowOff>63502</xdr:rowOff>
    </xdr:to>
    <xdr:grpSp>
      <xdr:nvGrpSpPr>
        <xdr:cNvPr id="4" name="Group 3">
          <a:hlinkClick xmlns:r="http://schemas.openxmlformats.org/officeDocument/2006/relationships" r:id="rId3"/>
          <a:extLst>
            <a:ext uri="{FF2B5EF4-FFF2-40B4-BE49-F238E27FC236}">
              <a16:creationId xmlns:a16="http://schemas.microsoft.com/office/drawing/2014/main" id="{89EAE8E9-5E82-46CC-BE6A-5AB69A9B0D90}"/>
            </a:ext>
          </a:extLst>
        </xdr:cNvPr>
        <xdr:cNvGrpSpPr/>
      </xdr:nvGrpSpPr>
      <xdr:grpSpPr>
        <a:xfrm>
          <a:off x="6117167" y="158751"/>
          <a:ext cx="2239862" cy="1344084"/>
          <a:chOff x="657225" y="4024619"/>
          <a:chExt cx="2743200" cy="446447"/>
        </a:xfrm>
      </xdr:grpSpPr>
      <xdr:sp macro="" textlink="">
        <xdr:nvSpPr>
          <xdr:cNvPr id="5" name="Rectangle: Rounded Corners 4">
            <a:extLst>
              <a:ext uri="{FF2B5EF4-FFF2-40B4-BE49-F238E27FC236}">
                <a16:creationId xmlns:a16="http://schemas.microsoft.com/office/drawing/2014/main" id="{B903EA4F-9506-C32E-B307-411C01255319}"/>
              </a:ext>
            </a:extLst>
          </xdr:cNvPr>
          <xdr:cNvSpPr/>
        </xdr:nvSpPr>
        <xdr:spPr>
          <a:xfrm>
            <a:off x="657225" y="4057650"/>
            <a:ext cx="2743200" cy="390525"/>
          </a:xfrm>
          <a:prstGeom prst="roundRect">
            <a:avLst/>
          </a:prstGeom>
          <a:solidFill>
            <a:srgbClr val="FFFF0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n-US" sz="1100">
              <a:solidFill>
                <a:srgbClr val="0000FF"/>
              </a:solidFill>
            </a:endParaRPr>
          </a:p>
        </xdr:txBody>
      </xdr:sp>
      <xdr:sp macro="" textlink="">
        <xdr:nvSpPr>
          <xdr:cNvPr id="6" name="TextBox 5">
            <a:hlinkClick xmlns:r="http://schemas.openxmlformats.org/officeDocument/2006/relationships" r:id="rId4"/>
            <a:extLst>
              <a:ext uri="{FF2B5EF4-FFF2-40B4-BE49-F238E27FC236}">
                <a16:creationId xmlns:a16="http://schemas.microsoft.com/office/drawing/2014/main" id="{A070D24F-DD54-C57E-EDFA-12C262EED0C4}"/>
              </a:ext>
            </a:extLst>
          </xdr:cNvPr>
          <xdr:cNvSpPr txBox="1"/>
        </xdr:nvSpPr>
        <xdr:spPr>
          <a:xfrm>
            <a:off x="870141" y="4024619"/>
            <a:ext cx="2333911" cy="4464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i="1">
                <a:solidFill>
                  <a:srgbClr val="0000FF"/>
                </a:solidFill>
              </a:rPr>
              <a:t>CLICK</a:t>
            </a:r>
            <a:r>
              <a:rPr lang="en-US" sz="1400" b="1" i="1" baseline="0">
                <a:solidFill>
                  <a:srgbClr val="0000FF"/>
                </a:solidFill>
              </a:rPr>
              <a:t> HERE</a:t>
            </a:r>
            <a:br>
              <a:rPr lang="en-US" sz="1400" b="1" i="1" baseline="0">
                <a:solidFill>
                  <a:srgbClr val="0000FF"/>
                </a:solidFill>
              </a:rPr>
            </a:br>
            <a:endParaRPr lang="en-US" sz="1400" b="1" i="1" baseline="0">
              <a:solidFill>
                <a:srgbClr val="0000FF"/>
              </a:solidFill>
            </a:endParaRPr>
          </a:p>
          <a:p>
            <a:pPr algn="ctr"/>
            <a:r>
              <a:rPr lang="en-US" sz="1400" b="1" i="1" baseline="0">
                <a:solidFill>
                  <a:srgbClr val="0000FF"/>
                </a:solidFill>
              </a:rPr>
              <a:t>To s</a:t>
            </a:r>
            <a:r>
              <a:rPr lang="en-US" sz="1400" b="1" i="1">
                <a:solidFill>
                  <a:srgbClr val="0000FF"/>
                </a:solidFill>
              </a:rPr>
              <a:t>et inventory reporting year and correct for inflation </a:t>
            </a:r>
          </a:p>
        </xdr:txBody>
      </xdr:sp>
    </xdr:grpSp>
    <xdr:clientData/>
  </xdr:twoCellAnchor>
  <xdr:twoCellAnchor editAs="oneCell">
    <xdr:from>
      <xdr:col>2</xdr:col>
      <xdr:colOff>1390674</xdr:colOff>
      <xdr:row>0</xdr:row>
      <xdr:rowOff>158750</xdr:rowOff>
    </xdr:from>
    <xdr:to>
      <xdr:col>2</xdr:col>
      <xdr:colOff>2751668</xdr:colOff>
      <xdr:row>8</xdr:row>
      <xdr:rowOff>41602</xdr:rowOff>
    </xdr:to>
    <xdr:pic>
      <xdr:nvPicPr>
        <xdr:cNvPr id="7" name="Picture 6" descr="Homepage">
          <a:extLst>
            <a:ext uri="{FF2B5EF4-FFF2-40B4-BE49-F238E27FC236}">
              <a16:creationId xmlns:a16="http://schemas.microsoft.com/office/drawing/2014/main" id="{D4E4605A-EAF1-4C52-9003-45FE90EA391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143149" y="158750"/>
          <a:ext cx="1360994" cy="1330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52917</xdr:colOff>
      <xdr:row>1</xdr:row>
      <xdr:rowOff>170897</xdr:rowOff>
    </xdr:from>
    <xdr:to>
      <xdr:col>2</xdr:col>
      <xdr:colOff>1041828</xdr:colOff>
      <xdr:row>7</xdr:row>
      <xdr:rowOff>71362</xdr:rowOff>
    </xdr:to>
    <xdr:pic>
      <xdr:nvPicPr>
        <xdr:cNvPr id="8" name="Picture 4" descr="ENGIE Launches ENGIE Impact to Bridge Sustainability Expertise and ...">
          <a:extLst>
            <a:ext uri="{FF2B5EF4-FFF2-40B4-BE49-F238E27FC236}">
              <a16:creationId xmlns:a16="http://schemas.microsoft.com/office/drawing/2014/main" id="{8C99D166-301F-48AB-B79E-FDE51DBE72E4}"/>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62467" y="351872"/>
          <a:ext cx="1531836" cy="9863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6</xdr:col>
      <xdr:colOff>190500</xdr:colOff>
      <xdr:row>11</xdr:row>
      <xdr:rowOff>110067</xdr:rowOff>
    </xdr:from>
    <xdr:to>
      <xdr:col>19</xdr:col>
      <xdr:colOff>480483</xdr:colOff>
      <xdr:row>36</xdr:row>
      <xdr:rowOff>5291</xdr:rowOff>
    </xdr:to>
    <xdr:graphicFrame macro="">
      <xdr:nvGraphicFramePr>
        <xdr:cNvPr id="2" name="Chart 1">
          <a:extLst>
            <a:ext uri="{FF2B5EF4-FFF2-40B4-BE49-F238E27FC236}">
              <a16:creationId xmlns:a16="http://schemas.microsoft.com/office/drawing/2014/main" id="{31B87B83-3BC7-4F80-A2E1-FDE7B72FB0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8</xdr:row>
      <xdr:rowOff>152400</xdr:rowOff>
    </xdr:from>
    <xdr:to>
      <xdr:col>5</xdr:col>
      <xdr:colOff>0</xdr:colOff>
      <xdr:row>9</xdr:row>
      <xdr:rowOff>0</xdr:rowOff>
    </xdr:to>
    <xdr:sp macro="" textlink="">
      <xdr:nvSpPr>
        <xdr:cNvPr id="3" name="Rectangle: Rounded Corners 4">
          <a:hlinkClick xmlns:r="http://schemas.openxmlformats.org/officeDocument/2006/relationships" r:id="rId2"/>
          <a:extLst>
            <a:ext uri="{FF2B5EF4-FFF2-40B4-BE49-F238E27FC236}">
              <a16:creationId xmlns:a16="http://schemas.microsoft.com/office/drawing/2014/main" id="{6808251C-3420-4EBC-BF27-E3705A6446B7}"/>
            </a:ext>
          </a:extLst>
        </xdr:cNvPr>
        <xdr:cNvSpPr/>
      </xdr:nvSpPr>
      <xdr:spPr>
        <a:xfrm>
          <a:off x="4981575" y="1600200"/>
          <a:ext cx="0" cy="28575"/>
        </a:xfrm>
        <a:prstGeom prst="roundRect">
          <a:avLst/>
        </a:prstGeom>
        <a:ln>
          <a:solidFill>
            <a:schemeClr val="accent3">
              <a:lumMod val="50000"/>
            </a:schemeClr>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n-US" sz="1800" b="1" i="1">
              <a:solidFill>
                <a:sysClr val="windowText" lastClr="000000"/>
              </a:solidFill>
            </a:rPr>
            <a:t>Summary  of Results</a:t>
          </a:r>
        </a:p>
      </xdr:txBody>
    </xdr:sp>
    <xdr:clientData/>
  </xdr:twoCellAnchor>
  <xdr:twoCellAnchor editAs="oneCell">
    <xdr:from>
      <xdr:col>3</xdr:col>
      <xdr:colOff>1023616</xdr:colOff>
      <xdr:row>0</xdr:row>
      <xdr:rowOff>101876</xdr:rowOff>
    </xdr:from>
    <xdr:to>
      <xdr:col>3</xdr:col>
      <xdr:colOff>2460732</xdr:colOff>
      <xdr:row>8</xdr:row>
      <xdr:rowOff>59393</xdr:rowOff>
    </xdr:to>
    <xdr:pic>
      <xdr:nvPicPr>
        <xdr:cNvPr id="4" name="Picture 3" descr="Homepage">
          <a:extLst>
            <a:ext uri="{FF2B5EF4-FFF2-40B4-BE49-F238E27FC236}">
              <a16:creationId xmlns:a16="http://schemas.microsoft.com/office/drawing/2014/main" id="{C765EB64-8AE1-4212-AA3D-6C1F1698439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28566" y="101876"/>
          <a:ext cx="1442831" cy="14110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514322</xdr:colOff>
      <xdr:row>1</xdr:row>
      <xdr:rowOff>136884</xdr:rowOff>
    </xdr:from>
    <xdr:to>
      <xdr:col>3</xdr:col>
      <xdr:colOff>713293</xdr:colOff>
      <xdr:row>7</xdr:row>
      <xdr:rowOff>50049</xdr:rowOff>
    </xdr:to>
    <xdr:pic>
      <xdr:nvPicPr>
        <xdr:cNvPr id="5" name="Picture 4" descr="ENGIE Launches ENGIE Impact to Bridge Sustainability Expertise and ...">
          <a:extLst>
            <a:ext uri="{FF2B5EF4-FFF2-40B4-BE49-F238E27FC236}">
              <a16:creationId xmlns:a16="http://schemas.microsoft.com/office/drawing/2014/main" id="{F4CF86CD-93A9-4326-97E6-BCB3004C929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93392" y="323574"/>
          <a:ext cx="1528661" cy="9894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absolute">
    <xdr:from>
      <xdr:col>0</xdr:col>
      <xdr:colOff>37622</xdr:colOff>
      <xdr:row>17</xdr:row>
      <xdr:rowOff>3311</xdr:rowOff>
    </xdr:from>
    <xdr:to>
      <xdr:col>1</xdr:col>
      <xdr:colOff>2854614</xdr:colOff>
      <xdr:row>22</xdr:row>
      <xdr:rowOff>841231</xdr:rowOff>
    </xdr:to>
    <mc:AlternateContent xmlns:mc="http://schemas.openxmlformats.org/markup-compatibility/2006" xmlns:sle15="http://schemas.microsoft.com/office/drawing/2012/slicer">
      <mc:Choice Requires="sle15">
        <xdr:graphicFrame macro="">
          <xdr:nvGraphicFramePr>
            <xdr:cNvPr id="2" name="Category 1">
              <a:extLst>
                <a:ext uri="{FF2B5EF4-FFF2-40B4-BE49-F238E27FC236}">
                  <a16:creationId xmlns:a16="http://schemas.microsoft.com/office/drawing/2014/main" id="{32110D01-ECEE-46DE-BFAF-1AC402B281FF}"/>
                </a:ext>
              </a:extLst>
            </xdr:cNvPr>
            <xdr:cNvGraphicFramePr/>
          </xdr:nvGraphicFramePr>
          <xdr:xfrm>
            <a:off x="0" y="0"/>
            <a:ext cx="0" cy="0"/>
          </xdr:xfrm>
          <a:graphic>
            <a:graphicData uri="http://schemas.microsoft.com/office/drawing/2010/slicer">
              <sle:slicer xmlns:sle="http://schemas.microsoft.com/office/drawing/2010/slicer" name="Category 1"/>
            </a:graphicData>
          </a:graphic>
        </xdr:graphicFrame>
      </mc:Choice>
      <mc:Fallback xmlns="">
        <xdr:sp macro="" textlink="">
          <xdr:nvSpPr>
            <xdr:cNvPr id="0" name=""/>
            <xdr:cNvSpPr>
              <a:spLocks noTextEdit="1"/>
            </xdr:cNvSpPr>
          </xdr:nvSpPr>
          <xdr:spPr>
            <a:xfrm>
              <a:off x="37622" y="3900418"/>
              <a:ext cx="5470657" cy="4727817"/>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fLocksWithSheet="0"/>
  </xdr:twoCellAnchor>
  <xdr:twoCellAnchor editAs="absolute">
    <xdr:from>
      <xdr:col>0</xdr:col>
      <xdr:colOff>72346</xdr:colOff>
      <xdr:row>22</xdr:row>
      <xdr:rowOff>1106521</xdr:rowOff>
    </xdr:from>
    <xdr:to>
      <xdr:col>1</xdr:col>
      <xdr:colOff>2853695</xdr:colOff>
      <xdr:row>27</xdr:row>
      <xdr:rowOff>611869</xdr:rowOff>
    </xdr:to>
    <mc:AlternateContent xmlns:mc="http://schemas.openxmlformats.org/markup-compatibility/2006" xmlns:sle15="http://schemas.microsoft.com/office/drawing/2012/slicer">
      <mc:Choice Requires="sle15">
        <xdr:graphicFrame macro="">
          <xdr:nvGraphicFramePr>
            <xdr:cNvPr id="3" name="Sub-category 2">
              <a:extLst>
                <a:ext uri="{FF2B5EF4-FFF2-40B4-BE49-F238E27FC236}">
                  <a16:creationId xmlns:a16="http://schemas.microsoft.com/office/drawing/2014/main" id="{F34C50B8-BA76-4A13-A388-5DC12958F18B}"/>
                </a:ext>
              </a:extLst>
            </xdr:cNvPr>
            <xdr:cNvGraphicFramePr/>
          </xdr:nvGraphicFramePr>
          <xdr:xfrm>
            <a:off x="0" y="0"/>
            <a:ext cx="0" cy="0"/>
          </xdr:xfrm>
          <a:graphic>
            <a:graphicData uri="http://schemas.microsoft.com/office/drawing/2010/slicer">
              <sle:slicer xmlns:sle="http://schemas.microsoft.com/office/drawing/2010/slicer" name="Sub-category 2"/>
            </a:graphicData>
          </a:graphic>
        </xdr:graphicFrame>
      </mc:Choice>
      <mc:Fallback xmlns="">
        <xdr:sp macro="" textlink="">
          <xdr:nvSpPr>
            <xdr:cNvPr id="0" name=""/>
            <xdr:cNvSpPr>
              <a:spLocks noTextEdit="1"/>
            </xdr:cNvSpPr>
          </xdr:nvSpPr>
          <xdr:spPr>
            <a:xfrm>
              <a:off x="64726" y="8913897"/>
              <a:ext cx="5452159" cy="496977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fLocksWithSheet="0"/>
  </xdr:twoCellAnchor>
  <xdr:twoCellAnchor>
    <xdr:from>
      <xdr:col>0</xdr:col>
      <xdr:colOff>11207</xdr:colOff>
      <xdr:row>8</xdr:row>
      <xdr:rowOff>78443</xdr:rowOff>
    </xdr:from>
    <xdr:to>
      <xdr:col>12</xdr:col>
      <xdr:colOff>0</xdr:colOff>
      <xdr:row>15</xdr:row>
      <xdr:rowOff>67236</xdr:rowOff>
    </xdr:to>
    <xdr:sp macro="" textlink="">
      <xdr:nvSpPr>
        <xdr:cNvPr id="4" name="TextBox 3">
          <a:extLst>
            <a:ext uri="{FF2B5EF4-FFF2-40B4-BE49-F238E27FC236}">
              <a16:creationId xmlns:a16="http://schemas.microsoft.com/office/drawing/2014/main" id="{A5960463-D355-48FB-8AD5-DA7023FCF298}"/>
            </a:ext>
          </a:extLst>
        </xdr:cNvPr>
        <xdr:cNvSpPr txBox="1"/>
      </xdr:nvSpPr>
      <xdr:spPr>
        <a:xfrm>
          <a:off x="11207" y="1647267"/>
          <a:ext cx="26378646" cy="1299881"/>
        </a:xfrm>
        <a:prstGeom prst="rect">
          <a:avLst/>
        </a:prstGeom>
        <a:solidFill>
          <a:schemeClr val="lt1"/>
        </a:solidFill>
        <a:ln w="952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00B0F0"/>
              </a:solidFill>
            </a:rPr>
            <a:t>Category</a:t>
          </a:r>
          <a:r>
            <a:rPr lang="en-US" sz="1200" b="1" baseline="0">
              <a:solidFill>
                <a:srgbClr val="00B0F0"/>
              </a:solidFill>
            </a:rPr>
            <a:t> Description and Emissions Methodology</a:t>
          </a:r>
        </a:p>
        <a:p>
          <a:r>
            <a:rPr lang="en-US" sz="1100" b="1" i="0" baseline="0"/>
            <a:t>Purchased Goods and Services</a:t>
          </a:r>
          <a:r>
            <a:rPr lang="en-US" sz="1100" i="0" baseline="0"/>
            <a:t>: In</a:t>
          </a:r>
          <a:r>
            <a:rPr lang="en-US" sz="1100" b="0" i="0" u="none" strike="noStrike" baseline="0">
              <a:solidFill>
                <a:schemeClr val="dk1"/>
              </a:solidFill>
              <a:latin typeface="+mn-lt"/>
              <a:ea typeface="+mn-ea"/>
              <a:cs typeface="+mn-cs"/>
            </a:rPr>
            <a:t>cludes all upstream emissions from the production of products purchased or acquired by the reporting company in the reporting year. Products include both goods (tangible products) and services (intangible products).</a:t>
          </a:r>
          <a:br>
            <a:rPr lang="en-US" sz="1100" b="0" i="0" u="none" strike="noStrike" baseline="0">
              <a:solidFill>
                <a:schemeClr val="dk1"/>
              </a:solidFill>
              <a:latin typeface="+mn-lt"/>
              <a:ea typeface="+mn-ea"/>
              <a:cs typeface="+mn-cs"/>
            </a:rPr>
          </a:br>
          <a:r>
            <a:rPr lang="en-US" sz="1100" b="1" i="1" baseline="0">
              <a:solidFill>
                <a:schemeClr val="dk1"/>
              </a:solidFill>
              <a:effectLst/>
              <a:latin typeface="+mn-lt"/>
              <a:ea typeface="+mn-ea"/>
              <a:cs typeface="+mn-cs"/>
            </a:rPr>
            <a:t>Exclusions</a:t>
          </a:r>
          <a:r>
            <a:rPr lang="en-US" sz="1100" b="0" i="0" baseline="0">
              <a:solidFill>
                <a:schemeClr val="dk1"/>
              </a:solidFill>
              <a:effectLst/>
              <a:latin typeface="+mn-lt"/>
              <a:ea typeface="+mn-ea"/>
              <a:cs typeface="+mn-cs"/>
            </a:rPr>
            <a:t>: A</a:t>
          </a:r>
          <a:r>
            <a:rPr lang="en-US" sz="1100" baseline="0">
              <a:solidFill>
                <a:schemeClr val="dk1"/>
              </a:solidFill>
              <a:effectLst/>
              <a:latin typeface="+mn-lt"/>
              <a:ea typeface="+mn-ea"/>
              <a:cs typeface="+mn-cs"/>
            </a:rPr>
            <a:t>ny payments to employees (e.g., payroll, 401k matches, benefits, etc.), taxes, utility payments (e.g., electricity, gas, fuel, etc.), transportation costs (use other categories), waste services, etc.</a:t>
          </a:r>
          <a:br>
            <a:rPr lang="en-US" sz="1100" b="0" i="0" u="none" strike="noStrike" baseline="0">
              <a:solidFill>
                <a:schemeClr val="dk1"/>
              </a:solidFill>
              <a:latin typeface="+mn-lt"/>
              <a:ea typeface="+mn-ea"/>
              <a:cs typeface="+mn-cs"/>
            </a:rPr>
          </a:br>
          <a:br>
            <a:rPr lang="en-US" sz="1100" b="0" i="0" u="none" strike="noStrike" baseline="0">
              <a:solidFill>
                <a:schemeClr val="dk1"/>
              </a:solidFill>
              <a:latin typeface="+mn-lt"/>
              <a:ea typeface="+mn-ea"/>
              <a:cs typeface="+mn-cs"/>
            </a:rPr>
          </a:br>
          <a:r>
            <a:rPr lang="en-US" sz="1100" baseline="0">
              <a:solidFill>
                <a:schemeClr val="dk1"/>
              </a:solidFill>
              <a:effectLst/>
              <a:latin typeface="+mn-lt"/>
              <a:ea typeface="+mn-ea"/>
              <a:cs typeface="+mn-cs"/>
            </a:rPr>
            <a:t>The "spend-based method" is employed to estimate emissions using the USEPA's </a:t>
          </a:r>
          <a:r>
            <a:rPr lang="en-US" sz="1100" i="1" baseline="0">
              <a:solidFill>
                <a:schemeClr val="dk1"/>
              </a:solidFill>
              <a:effectLst/>
              <a:latin typeface="+mn-lt"/>
              <a:ea typeface="+mn-ea"/>
              <a:cs typeface="+mn-cs"/>
            </a:rPr>
            <a:t>Supply Chain Greenhouse Gas Emission Factors for US Industries and Commodities</a:t>
          </a:r>
          <a:r>
            <a:rPr lang="en-US" sz="1100" baseline="0">
              <a:solidFill>
                <a:schemeClr val="dk1"/>
              </a:solidFill>
              <a:effectLst/>
              <a:latin typeface="+mn-lt"/>
              <a:ea typeface="+mn-ea"/>
              <a:cs typeface="+mn-cs"/>
            </a:rPr>
            <a:t> database v1.3 (July 2024).</a:t>
          </a:r>
          <a:br>
            <a:rPr lang="en-US" sz="1100" baseline="0">
              <a:solidFill>
                <a:schemeClr val="dk1"/>
              </a:solidFill>
              <a:effectLst/>
              <a:latin typeface="+mn-lt"/>
              <a:ea typeface="+mn-ea"/>
              <a:cs typeface="+mn-cs"/>
            </a:rPr>
          </a:br>
          <a:br>
            <a:rPr lang="en-US" sz="1100" baseline="0">
              <a:solidFill>
                <a:schemeClr val="dk1"/>
              </a:solidFill>
              <a:effectLst/>
              <a:latin typeface="+mn-lt"/>
              <a:ea typeface="+mn-ea"/>
              <a:cs typeface="+mn-cs"/>
            </a:rPr>
          </a:br>
          <a:r>
            <a:rPr lang="en-US" sz="1400" b="1" i="1" baseline="0">
              <a:solidFill>
                <a:srgbClr val="FF0000"/>
              </a:solidFill>
              <a:effectLst/>
              <a:latin typeface="+mn-lt"/>
              <a:ea typeface="+mn-ea"/>
              <a:cs typeface="+mn-cs"/>
            </a:rPr>
            <a:t>Note, if supplier-specific calculations have been made, or outside sources were used to determine category 1 emissions, please reference the "Category 1 and 2 (custom input)" tab, which allows for user input of emissions factors and totals.</a:t>
          </a:r>
          <a:endParaRPr lang="en-US">
            <a:solidFill>
              <a:srgbClr val="FF0000"/>
            </a:solidFill>
            <a:effectLst/>
          </a:endParaRPr>
        </a:p>
        <a:p>
          <a:endParaRPr lang="en-US" sz="1100" baseline="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endParaRPr 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absolute">
    <xdr:from>
      <xdr:col>0</xdr:col>
      <xdr:colOff>0</xdr:colOff>
      <xdr:row>17</xdr:row>
      <xdr:rowOff>224964</xdr:rowOff>
    </xdr:from>
    <xdr:to>
      <xdr:col>1</xdr:col>
      <xdr:colOff>2815087</xdr:colOff>
      <xdr:row>18</xdr:row>
      <xdr:rowOff>414843</xdr:rowOff>
    </xdr:to>
    <mc:AlternateContent xmlns:mc="http://schemas.openxmlformats.org/markup-compatibility/2006" xmlns:sle15="http://schemas.microsoft.com/office/drawing/2012/slicer">
      <mc:Choice Requires="sle15">
        <xdr:graphicFrame macro="">
          <xdr:nvGraphicFramePr>
            <xdr:cNvPr id="2" name="Category 2">
              <a:extLst>
                <a:ext uri="{FF2B5EF4-FFF2-40B4-BE49-F238E27FC236}">
                  <a16:creationId xmlns:a16="http://schemas.microsoft.com/office/drawing/2014/main" id="{56A00074-E0C4-43C3-AE35-F025BBA63680}"/>
                </a:ext>
              </a:extLst>
            </xdr:cNvPr>
            <xdr:cNvGraphicFramePr/>
          </xdr:nvGraphicFramePr>
          <xdr:xfrm>
            <a:off x="0" y="0"/>
            <a:ext cx="0" cy="0"/>
          </xdr:xfrm>
          <a:graphic>
            <a:graphicData uri="http://schemas.microsoft.com/office/drawing/2010/slicer">
              <sle:slicer xmlns:sle="http://schemas.microsoft.com/office/drawing/2010/slicer" name="Category 2"/>
            </a:graphicData>
          </a:graphic>
        </xdr:graphicFrame>
      </mc:Choice>
      <mc:Fallback xmlns="">
        <xdr:sp macro="" textlink="">
          <xdr:nvSpPr>
            <xdr:cNvPr id="0" name=""/>
            <xdr:cNvSpPr>
              <a:spLocks noTextEdit="1"/>
            </xdr:cNvSpPr>
          </xdr:nvSpPr>
          <xdr:spPr>
            <a:xfrm>
              <a:off x="0" y="4120802"/>
              <a:ext cx="5470657" cy="91063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fLocksWithSheet="0"/>
  </xdr:twoCellAnchor>
  <xdr:twoCellAnchor editAs="absolute">
    <xdr:from>
      <xdr:col>0</xdr:col>
      <xdr:colOff>33618</xdr:colOff>
      <xdr:row>18</xdr:row>
      <xdr:rowOff>605072</xdr:rowOff>
    </xdr:from>
    <xdr:to>
      <xdr:col>1</xdr:col>
      <xdr:colOff>2818777</xdr:colOff>
      <xdr:row>23</xdr:row>
      <xdr:rowOff>302138</xdr:rowOff>
    </xdr:to>
    <mc:AlternateContent xmlns:mc="http://schemas.openxmlformats.org/markup-compatibility/2006" xmlns:sle15="http://schemas.microsoft.com/office/drawing/2012/slicer">
      <mc:Choice Requires="sle15">
        <xdr:graphicFrame macro="">
          <xdr:nvGraphicFramePr>
            <xdr:cNvPr id="3" name="Sub-category 4">
              <a:extLst>
                <a:ext uri="{FF2B5EF4-FFF2-40B4-BE49-F238E27FC236}">
                  <a16:creationId xmlns:a16="http://schemas.microsoft.com/office/drawing/2014/main" id="{CB679D01-8506-4E01-8F79-74BE51AA41CE}"/>
                </a:ext>
              </a:extLst>
            </xdr:cNvPr>
            <xdr:cNvGraphicFramePr/>
          </xdr:nvGraphicFramePr>
          <xdr:xfrm>
            <a:off x="0" y="0"/>
            <a:ext cx="0" cy="0"/>
          </xdr:xfrm>
          <a:graphic>
            <a:graphicData uri="http://schemas.microsoft.com/office/drawing/2010/slicer">
              <sle:slicer xmlns:sle="http://schemas.microsoft.com/office/drawing/2010/slicer" name="Sub-category 4"/>
            </a:graphicData>
          </a:graphic>
        </xdr:graphicFrame>
      </mc:Choice>
      <mc:Fallback xmlns="">
        <xdr:sp macro="" textlink="">
          <xdr:nvSpPr>
            <xdr:cNvPr id="0" name=""/>
            <xdr:cNvSpPr>
              <a:spLocks noTextEdit="1"/>
            </xdr:cNvSpPr>
          </xdr:nvSpPr>
          <xdr:spPr>
            <a:xfrm>
              <a:off x="33618" y="5720221"/>
              <a:ext cx="5452159" cy="496977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fLocksWithSheet="0"/>
  </xdr:twoCellAnchor>
  <xdr:twoCellAnchor>
    <xdr:from>
      <xdr:col>0</xdr:col>
      <xdr:colOff>0</xdr:colOff>
      <xdr:row>7</xdr:row>
      <xdr:rowOff>145676</xdr:rowOff>
    </xdr:from>
    <xdr:to>
      <xdr:col>12</xdr:col>
      <xdr:colOff>0</xdr:colOff>
      <xdr:row>14</xdr:row>
      <xdr:rowOff>190500</xdr:rowOff>
    </xdr:to>
    <xdr:sp macro="" textlink="">
      <xdr:nvSpPr>
        <xdr:cNvPr id="5" name="TextBox 4">
          <a:extLst>
            <a:ext uri="{FF2B5EF4-FFF2-40B4-BE49-F238E27FC236}">
              <a16:creationId xmlns:a16="http://schemas.microsoft.com/office/drawing/2014/main" id="{A65CDEEF-46C9-416D-A0C0-F922ACE1872D}"/>
            </a:ext>
          </a:extLst>
        </xdr:cNvPr>
        <xdr:cNvSpPr txBox="1"/>
      </xdr:nvSpPr>
      <xdr:spPr>
        <a:xfrm>
          <a:off x="0" y="1535205"/>
          <a:ext cx="25930412" cy="1501589"/>
        </a:xfrm>
        <a:prstGeom prst="rect">
          <a:avLst/>
        </a:prstGeom>
        <a:solidFill>
          <a:schemeClr val="lt1"/>
        </a:solidFill>
        <a:ln w="952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00B0F0"/>
              </a:solidFill>
              <a:effectLst/>
              <a:latin typeface="+mn-lt"/>
              <a:ea typeface="+mn-ea"/>
              <a:cs typeface="+mn-cs"/>
            </a:rPr>
            <a:t>Category</a:t>
          </a:r>
          <a:r>
            <a:rPr lang="en-US" sz="1200" b="1" baseline="0">
              <a:solidFill>
                <a:srgbClr val="00B0F0"/>
              </a:solidFill>
              <a:effectLst/>
              <a:latin typeface="+mn-lt"/>
              <a:ea typeface="+mn-ea"/>
              <a:cs typeface="+mn-cs"/>
            </a:rPr>
            <a:t> Description and Emissions Methodology</a:t>
          </a:r>
          <a:endParaRPr lang="en-US" sz="1200">
            <a:solidFill>
              <a:srgbClr val="00B0F0"/>
            </a:solidFill>
            <a:effectLst/>
          </a:endParaRPr>
        </a:p>
        <a:p>
          <a:r>
            <a:rPr lang="en-US" sz="1100" b="1" i="0" baseline="0">
              <a:solidFill>
                <a:schemeClr val="dk1"/>
              </a:solidFill>
              <a:effectLst/>
              <a:latin typeface="+mn-lt"/>
              <a:ea typeface="+mn-ea"/>
              <a:cs typeface="+mn-cs"/>
            </a:rPr>
            <a:t>Capital Goods</a:t>
          </a:r>
          <a:r>
            <a:rPr lang="en-US" sz="1100" i="0" baseline="0">
              <a:solidFill>
                <a:schemeClr val="dk1"/>
              </a:solidFill>
              <a:effectLst/>
              <a:latin typeface="+mn-lt"/>
              <a:ea typeface="+mn-ea"/>
              <a:cs typeface="+mn-cs"/>
            </a:rPr>
            <a:t>: In</a:t>
          </a:r>
          <a:r>
            <a:rPr lang="en-US" sz="1100" b="0" i="0" baseline="0">
              <a:solidFill>
                <a:schemeClr val="dk1"/>
              </a:solidFill>
              <a:effectLst/>
              <a:latin typeface="+mn-lt"/>
              <a:ea typeface="+mn-ea"/>
              <a:cs typeface="+mn-cs"/>
            </a:rPr>
            <a:t>cludes all upstream (i.e., cradle-to-gate) emissions from the production of capital goods purchased or acquired by the reporting company in the reporting year. Emissions from the use of capital goods by the reporting company are accounted for in either scope 1 (e.g., for fuel use) or scope 2 (e.g., for electricity use), rather than in scope 3. </a:t>
          </a:r>
        </a:p>
        <a:p>
          <a:r>
            <a:rPr lang="en-US" sz="1100" b="0" i="0" baseline="0">
              <a:solidFill>
                <a:schemeClr val="dk1"/>
              </a:solidFill>
              <a:effectLst/>
              <a:latin typeface="+mn-lt"/>
              <a:ea typeface="+mn-ea"/>
              <a:cs typeface="+mn-cs"/>
            </a:rPr>
            <a:t>Capital goods are final products that have an extended life and are used by the company to manufacture a product; provide a service; or sell, store, and deliver merchandise. In financial accounting, capital goods are treated as fixed assets or as plant, property, and equipment (PP&amp;E). Examples of capital goods include equipment, machinery, buildings,facilities, and vehicles.</a:t>
          </a:r>
          <a:br>
            <a:rPr lang="en-US" sz="1100" b="0" i="0" baseline="0">
              <a:solidFill>
                <a:schemeClr val="dk1"/>
              </a:solidFill>
              <a:effectLst/>
              <a:latin typeface="+mn-lt"/>
              <a:ea typeface="+mn-ea"/>
              <a:cs typeface="+mn-cs"/>
            </a:rPr>
          </a:br>
          <a:r>
            <a:rPr lang="en-US" sz="1100" b="1" i="1" baseline="0">
              <a:solidFill>
                <a:schemeClr val="dk1"/>
              </a:solidFill>
              <a:effectLst/>
              <a:latin typeface="+mn-lt"/>
              <a:ea typeface="+mn-ea"/>
              <a:cs typeface="+mn-cs"/>
            </a:rPr>
            <a:t>Exclusions</a:t>
          </a:r>
          <a:r>
            <a:rPr lang="en-US" sz="1100" b="0" i="0" baseline="0">
              <a:solidFill>
                <a:schemeClr val="dk1"/>
              </a:solidFill>
              <a:effectLst/>
              <a:latin typeface="+mn-lt"/>
              <a:ea typeface="+mn-ea"/>
              <a:cs typeface="+mn-cs"/>
            </a:rPr>
            <a:t>: A</a:t>
          </a:r>
          <a:r>
            <a:rPr lang="en-US" sz="1100" baseline="0">
              <a:solidFill>
                <a:schemeClr val="dk1"/>
              </a:solidFill>
              <a:effectLst/>
              <a:latin typeface="+mn-lt"/>
              <a:ea typeface="+mn-ea"/>
              <a:cs typeface="+mn-cs"/>
            </a:rPr>
            <a:t>ny payments to employees (e.g., payroll, 401k matches, benefits, etc.), taxes, utility payments (e.g., electricity, gas, fuel, etc.), transportation costs (use other categories), waste services, etc.</a:t>
          </a:r>
          <a:br>
            <a:rPr lang="en-US" sz="1100" b="0" i="0" baseline="0">
              <a:solidFill>
                <a:schemeClr val="dk1"/>
              </a:solidFill>
              <a:effectLst/>
              <a:latin typeface="+mn-lt"/>
              <a:ea typeface="+mn-ea"/>
              <a:cs typeface="+mn-cs"/>
            </a:rPr>
          </a:br>
          <a:br>
            <a:rPr lang="en-US" sz="1100" b="0" i="0" baseline="0">
              <a:solidFill>
                <a:schemeClr val="dk1"/>
              </a:solidFill>
              <a:effectLst/>
              <a:latin typeface="+mn-lt"/>
              <a:ea typeface="+mn-ea"/>
              <a:cs typeface="+mn-cs"/>
            </a:rPr>
          </a:br>
          <a:r>
            <a:rPr lang="en-US" sz="1100" baseline="0">
              <a:solidFill>
                <a:schemeClr val="dk1"/>
              </a:solidFill>
              <a:effectLst/>
              <a:latin typeface="+mn-lt"/>
              <a:ea typeface="+mn-ea"/>
              <a:cs typeface="+mn-cs"/>
            </a:rPr>
            <a:t>The "spend-based method" is employed to estimate emissions using the USEPA's </a:t>
          </a:r>
          <a:r>
            <a:rPr lang="en-US" sz="1100" i="1" baseline="0">
              <a:solidFill>
                <a:schemeClr val="dk1"/>
              </a:solidFill>
              <a:effectLst/>
              <a:latin typeface="+mn-lt"/>
              <a:ea typeface="+mn-ea"/>
              <a:cs typeface="+mn-cs"/>
            </a:rPr>
            <a:t>Supply Chain Greenhouse Gas Emission Factors for US Industries and Commodities</a:t>
          </a:r>
          <a:r>
            <a:rPr lang="en-US" sz="1100" baseline="0">
              <a:solidFill>
                <a:schemeClr val="dk1"/>
              </a:solidFill>
              <a:effectLst/>
              <a:latin typeface="+mn-lt"/>
              <a:ea typeface="+mn-ea"/>
              <a:cs typeface="+mn-cs"/>
            </a:rPr>
            <a:t> database v1.3 (July 2024).</a:t>
          </a:r>
          <a:br>
            <a:rPr lang="en-US" sz="1100" baseline="0">
              <a:solidFill>
                <a:schemeClr val="dk1"/>
              </a:solidFill>
              <a:effectLst/>
              <a:latin typeface="+mn-lt"/>
              <a:ea typeface="+mn-ea"/>
              <a:cs typeface="+mn-cs"/>
            </a:rPr>
          </a:br>
          <a:br>
            <a:rPr lang="en-US" sz="1100" baseline="0">
              <a:solidFill>
                <a:schemeClr val="dk1"/>
              </a:solidFill>
              <a:effectLst/>
              <a:latin typeface="+mn-lt"/>
              <a:ea typeface="+mn-ea"/>
              <a:cs typeface="+mn-cs"/>
            </a:rPr>
          </a:br>
          <a:r>
            <a:rPr lang="en-US" sz="1400" b="1" i="1" baseline="0">
              <a:solidFill>
                <a:srgbClr val="FF0000"/>
              </a:solidFill>
              <a:effectLst/>
              <a:latin typeface="+mn-lt"/>
              <a:ea typeface="+mn-ea"/>
              <a:cs typeface="+mn-cs"/>
            </a:rPr>
            <a:t>Note, if supplier-specific calculations have been made, or outside sources were used to determine category 2 emissions, please reference the "Category 1 and 2 (custom input)" tab, which allows for user input of emissions factors and totals.</a:t>
          </a:r>
          <a:endParaRPr lang="en-US" sz="1200">
            <a:solidFill>
              <a:srgbClr val="FF0000"/>
            </a:solidFill>
            <a:effectLst/>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400050</xdr:colOff>
      <xdr:row>6</xdr:row>
      <xdr:rowOff>89894</xdr:rowOff>
    </xdr:from>
    <xdr:to>
      <xdr:col>8</xdr:col>
      <xdr:colOff>142875</xdr:colOff>
      <xdr:row>16</xdr:row>
      <xdr:rowOff>38423</xdr:rowOff>
    </xdr:to>
    <xdr:pic>
      <xdr:nvPicPr>
        <xdr:cNvPr id="2" name="Picture 1">
          <a:extLst>
            <a:ext uri="{FF2B5EF4-FFF2-40B4-BE49-F238E27FC236}">
              <a16:creationId xmlns:a16="http://schemas.microsoft.com/office/drawing/2014/main" id="{3D566488-2163-42BC-A045-C3BEDC070F74}"/>
            </a:ext>
          </a:extLst>
        </xdr:cNvPr>
        <xdr:cNvPicPr>
          <a:picLocks noChangeAspect="1"/>
        </xdr:cNvPicPr>
      </xdr:nvPicPr>
      <xdr:blipFill>
        <a:blip xmlns:r="http://schemas.openxmlformats.org/officeDocument/2006/relationships" r:embed="rId1"/>
        <a:stretch>
          <a:fillRect/>
        </a:stretch>
      </xdr:blipFill>
      <xdr:spPr>
        <a:xfrm>
          <a:off x="1771650" y="1290044"/>
          <a:ext cx="3857625" cy="1948779"/>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38100</xdr:colOff>
      <xdr:row>20</xdr:row>
      <xdr:rowOff>95250</xdr:rowOff>
    </xdr:from>
    <xdr:to>
      <xdr:col>7</xdr:col>
      <xdr:colOff>581675</xdr:colOff>
      <xdr:row>29</xdr:row>
      <xdr:rowOff>152659</xdr:rowOff>
    </xdr:to>
    <xdr:pic>
      <xdr:nvPicPr>
        <xdr:cNvPr id="3" name="Picture 2">
          <a:extLst>
            <a:ext uri="{FF2B5EF4-FFF2-40B4-BE49-F238E27FC236}">
              <a16:creationId xmlns:a16="http://schemas.microsoft.com/office/drawing/2014/main" id="{C4D21888-FE0A-4501-AB0D-3730C0BAB4E3}"/>
            </a:ext>
          </a:extLst>
        </xdr:cNvPr>
        <xdr:cNvPicPr>
          <a:picLocks noChangeAspect="1"/>
        </xdr:cNvPicPr>
      </xdr:nvPicPr>
      <xdr:blipFill>
        <a:blip xmlns:r="http://schemas.openxmlformats.org/officeDocument/2006/relationships" r:embed="rId2"/>
        <a:stretch>
          <a:fillRect/>
        </a:stretch>
      </xdr:blipFill>
      <xdr:spPr>
        <a:xfrm>
          <a:off x="723900" y="4095750"/>
          <a:ext cx="4658375" cy="1857634"/>
        </a:xfrm>
        <a:prstGeom prst="rect">
          <a:avLst/>
        </a:prstGeom>
        <a:ln>
          <a:noFill/>
        </a:ln>
        <a:effectLst>
          <a:outerShdw blurRad="190500" algn="tl" rotWithShape="0">
            <a:srgbClr val="000000">
              <a:alpha val="70000"/>
            </a:srgbClr>
          </a:outerShdw>
        </a:effectLst>
      </xdr:spPr>
    </xdr:pic>
    <xdr:clientData/>
  </xdr:twoCellAnchor>
  <xdr:twoCellAnchor>
    <xdr:from>
      <xdr:col>7</xdr:col>
      <xdr:colOff>314325</xdr:colOff>
      <xdr:row>20</xdr:row>
      <xdr:rowOff>95250</xdr:rowOff>
    </xdr:from>
    <xdr:to>
      <xdr:col>7</xdr:col>
      <xdr:colOff>581025</xdr:colOff>
      <xdr:row>22</xdr:row>
      <xdr:rowOff>47625</xdr:rowOff>
    </xdr:to>
    <xdr:sp macro="" textlink="">
      <xdr:nvSpPr>
        <xdr:cNvPr id="4" name="Rectangle: Rounded Corners 3">
          <a:extLst>
            <a:ext uri="{FF2B5EF4-FFF2-40B4-BE49-F238E27FC236}">
              <a16:creationId xmlns:a16="http://schemas.microsoft.com/office/drawing/2014/main" id="{96E709E3-3468-4347-8C5F-0A4C7C15B854}"/>
            </a:ext>
          </a:extLst>
        </xdr:cNvPr>
        <xdr:cNvSpPr/>
      </xdr:nvSpPr>
      <xdr:spPr>
        <a:xfrm>
          <a:off x="5114925" y="4095750"/>
          <a:ext cx="266700" cy="352425"/>
        </a:xfrm>
        <a:prstGeom prst="round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noAutofit/>
        </a:bodyPr>
        <a:lstStyle/>
        <a:p>
          <a:pPr algn="ctr"/>
          <a:endParaRPr lang="en-US" sz="1100"/>
        </a:p>
      </xdr:txBody>
    </xdr:sp>
    <xdr:clientData/>
  </xdr:twoCellAnchor>
  <xdr:twoCellAnchor>
    <xdr:from>
      <xdr:col>5</xdr:col>
      <xdr:colOff>95250</xdr:colOff>
      <xdr:row>5</xdr:row>
      <xdr:rowOff>9525</xdr:rowOff>
    </xdr:from>
    <xdr:to>
      <xdr:col>7</xdr:col>
      <xdr:colOff>561975</xdr:colOff>
      <xdr:row>6</xdr:row>
      <xdr:rowOff>114300</xdr:rowOff>
    </xdr:to>
    <xdr:cxnSp macro="">
      <xdr:nvCxnSpPr>
        <xdr:cNvPr id="5" name="Straight Arrow Connector 4">
          <a:extLst>
            <a:ext uri="{FF2B5EF4-FFF2-40B4-BE49-F238E27FC236}">
              <a16:creationId xmlns:a16="http://schemas.microsoft.com/office/drawing/2014/main" id="{6E5C0E45-F31A-4E99-AB62-A521B2EABBAF}"/>
            </a:ext>
          </a:extLst>
        </xdr:cNvPr>
        <xdr:cNvCxnSpPr/>
      </xdr:nvCxnSpPr>
      <xdr:spPr>
        <a:xfrm>
          <a:off x="3524250" y="1009650"/>
          <a:ext cx="1838325" cy="30480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581025</xdr:colOff>
      <xdr:row>20</xdr:row>
      <xdr:rowOff>0</xdr:rowOff>
    </xdr:from>
    <xdr:to>
      <xdr:col>14</xdr:col>
      <xdr:colOff>647700</xdr:colOff>
      <xdr:row>21</xdr:row>
      <xdr:rowOff>71438</xdr:rowOff>
    </xdr:to>
    <xdr:cxnSp macro="">
      <xdr:nvCxnSpPr>
        <xdr:cNvPr id="6" name="Straight Arrow Connector 5">
          <a:extLst>
            <a:ext uri="{FF2B5EF4-FFF2-40B4-BE49-F238E27FC236}">
              <a16:creationId xmlns:a16="http://schemas.microsoft.com/office/drawing/2014/main" id="{E3252D0C-0A80-42D9-84B5-9590AC836933}"/>
            </a:ext>
          </a:extLst>
        </xdr:cNvPr>
        <xdr:cNvCxnSpPr>
          <a:endCxn id="4" idx="3"/>
        </xdr:cNvCxnSpPr>
      </xdr:nvCxnSpPr>
      <xdr:spPr>
        <a:xfrm flipH="1">
          <a:off x="5381625" y="4000500"/>
          <a:ext cx="4867275" cy="271463"/>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619125</xdr:colOff>
      <xdr:row>6</xdr:row>
      <xdr:rowOff>38100</xdr:rowOff>
    </xdr:from>
    <xdr:to>
      <xdr:col>8</xdr:col>
      <xdr:colOff>200025</xdr:colOff>
      <xdr:row>7</xdr:row>
      <xdr:rowOff>171450</xdr:rowOff>
    </xdr:to>
    <xdr:sp macro="" textlink="">
      <xdr:nvSpPr>
        <xdr:cNvPr id="7" name="Rectangle: Rounded Corners 6">
          <a:extLst>
            <a:ext uri="{FF2B5EF4-FFF2-40B4-BE49-F238E27FC236}">
              <a16:creationId xmlns:a16="http://schemas.microsoft.com/office/drawing/2014/main" id="{5FF79404-9530-44CA-9E0D-0220E87D4B48}"/>
            </a:ext>
          </a:extLst>
        </xdr:cNvPr>
        <xdr:cNvSpPr/>
      </xdr:nvSpPr>
      <xdr:spPr>
        <a:xfrm>
          <a:off x="5419725" y="1238250"/>
          <a:ext cx="266700" cy="333375"/>
        </a:xfrm>
        <a:prstGeom prst="round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noAutofit/>
        </a:bodyPr>
        <a:lstStyle/>
        <a:p>
          <a:pPr algn="ctr"/>
          <a:endParaRPr lang="en-US" sz="1100"/>
        </a:p>
      </xdr:txBody>
    </xdr:sp>
    <xdr:clientData/>
  </xdr:twoCellAnchor>
  <xdr:twoCellAnchor editAs="oneCell">
    <xdr:from>
      <xdr:col>1</xdr:col>
      <xdr:colOff>28575</xdr:colOff>
      <xdr:row>41</xdr:row>
      <xdr:rowOff>28575</xdr:rowOff>
    </xdr:from>
    <xdr:to>
      <xdr:col>7</xdr:col>
      <xdr:colOff>534045</xdr:colOff>
      <xdr:row>51</xdr:row>
      <xdr:rowOff>152696</xdr:rowOff>
    </xdr:to>
    <xdr:pic>
      <xdr:nvPicPr>
        <xdr:cNvPr id="8" name="Picture 7">
          <a:extLst>
            <a:ext uri="{FF2B5EF4-FFF2-40B4-BE49-F238E27FC236}">
              <a16:creationId xmlns:a16="http://schemas.microsoft.com/office/drawing/2014/main" id="{5A22D0C9-CF82-41B6-AE7B-491077B66313}"/>
            </a:ext>
          </a:extLst>
        </xdr:cNvPr>
        <xdr:cNvPicPr>
          <a:picLocks noChangeAspect="1"/>
        </xdr:cNvPicPr>
      </xdr:nvPicPr>
      <xdr:blipFill>
        <a:blip xmlns:r="http://schemas.openxmlformats.org/officeDocument/2006/relationships" r:embed="rId3"/>
        <a:stretch>
          <a:fillRect/>
        </a:stretch>
      </xdr:blipFill>
      <xdr:spPr>
        <a:xfrm>
          <a:off x="714375" y="8134350"/>
          <a:ext cx="4620270" cy="2124371"/>
        </a:xfrm>
        <a:prstGeom prst="rect">
          <a:avLst/>
        </a:prstGeom>
        <a:ln>
          <a:noFill/>
        </a:ln>
        <a:effectLst>
          <a:outerShdw blurRad="190500" algn="tl" rotWithShape="0">
            <a:srgbClr val="000000">
              <a:alpha val="70000"/>
            </a:srgbClr>
          </a:outerShdw>
        </a:effectLst>
      </xdr:spPr>
    </xdr:pic>
    <xdr:clientData/>
  </xdr:twoCellAnchor>
  <xdr:twoCellAnchor>
    <xdr:from>
      <xdr:col>7</xdr:col>
      <xdr:colOff>276225</xdr:colOff>
      <xdr:row>42</xdr:row>
      <xdr:rowOff>95250</xdr:rowOff>
    </xdr:from>
    <xdr:to>
      <xdr:col>10</xdr:col>
      <xdr:colOff>676275</xdr:colOff>
      <xdr:row>46</xdr:row>
      <xdr:rowOff>114300</xdr:rowOff>
    </xdr:to>
    <xdr:cxnSp macro="">
      <xdr:nvCxnSpPr>
        <xdr:cNvPr id="9" name="Straight Arrow Connector 8">
          <a:extLst>
            <a:ext uri="{FF2B5EF4-FFF2-40B4-BE49-F238E27FC236}">
              <a16:creationId xmlns:a16="http://schemas.microsoft.com/office/drawing/2014/main" id="{79AF3904-5D35-48BB-9EF9-810F6116F8C1}"/>
            </a:ext>
          </a:extLst>
        </xdr:cNvPr>
        <xdr:cNvCxnSpPr/>
      </xdr:nvCxnSpPr>
      <xdr:spPr>
        <a:xfrm flipH="1" flipV="1">
          <a:off x="5076825" y="8401050"/>
          <a:ext cx="2457450" cy="81915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495300</xdr:colOff>
      <xdr:row>41</xdr:row>
      <xdr:rowOff>161925</xdr:rowOff>
    </xdr:from>
    <xdr:to>
      <xdr:col>9</xdr:col>
      <xdr:colOff>676275</xdr:colOff>
      <xdr:row>42</xdr:row>
      <xdr:rowOff>95250</xdr:rowOff>
    </xdr:to>
    <xdr:cxnSp macro="">
      <xdr:nvCxnSpPr>
        <xdr:cNvPr id="10" name="Straight Arrow Connector 9">
          <a:extLst>
            <a:ext uri="{FF2B5EF4-FFF2-40B4-BE49-F238E27FC236}">
              <a16:creationId xmlns:a16="http://schemas.microsoft.com/office/drawing/2014/main" id="{77E26B74-E9CC-4F92-A1EF-1EF18B8655A1}"/>
            </a:ext>
          </a:extLst>
        </xdr:cNvPr>
        <xdr:cNvCxnSpPr/>
      </xdr:nvCxnSpPr>
      <xdr:spPr>
        <a:xfrm flipH="1" flipV="1">
          <a:off x="5295900" y="8267700"/>
          <a:ext cx="1552575" cy="13335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66674</xdr:colOff>
      <xdr:row>62</xdr:row>
      <xdr:rowOff>190499</xdr:rowOff>
    </xdr:from>
    <xdr:to>
      <xdr:col>22</xdr:col>
      <xdr:colOff>277959</xdr:colOff>
      <xdr:row>71</xdr:row>
      <xdr:rowOff>172021</xdr:rowOff>
    </xdr:to>
    <xdr:pic>
      <xdr:nvPicPr>
        <xdr:cNvPr id="11" name="Picture 10">
          <a:extLst>
            <a:ext uri="{FF2B5EF4-FFF2-40B4-BE49-F238E27FC236}">
              <a16:creationId xmlns:a16="http://schemas.microsoft.com/office/drawing/2014/main" id="{D878BEC9-0AA8-4CF2-B50D-DB1BC29D1CA4}"/>
            </a:ext>
          </a:extLst>
        </xdr:cNvPr>
        <xdr:cNvPicPr>
          <a:picLocks noChangeAspect="1"/>
        </xdr:cNvPicPr>
      </xdr:nvPicPr>
      <xdr:blipFill rotWithShape="1">
        <a:blip xmlns:r="http://schemas.openxmlformats.org/officeDocument/2006/relationships" r:embed="rId4"/>
        <a:srcRect l="26587" t="56504"/>
        <a:stretch/>
      </xdr:blipFill>
      <xdr:spPr>
        <a:xfrm>
          <a:off x="6238874" y="12496799"/>
          <a:ext cx="9126685" cy="1781747"/>
        </a:xfrm>
        <a:prstGeom prst="rect">
          <a:avLst/>
        </a:prstGeom>
        <a:ln>
          <a:noFill/>
        </a:ln>
        <a:effectLst>
          <a:outerShdw blurRad="190500" algn="tl" rotWithShape="0">
            <a:srgbClr val="000000">
              <a:alpha val="70000"/>
            </a:srgbClr>
          </a:outerShdw>
        </a:effectLst>
      </xdr:spPr>
    </xdr:pic>
    <xdr:clientData/>
  </xdr:twoCellAnchor>
  <xdr:twoCellAnchor>
    <xdr:from>
      <xdr:col>1</xdr:col>
      <xdr:colOff>190500</xdr:colOff>
      <xdr:row>61</xdr:row>
      <xdr:rowOff>133350</xdr:rowOff>
    </xdr:from>
    <xdr:to>
      <xdr:col>8</xdr:col>
      <xdr:colOff>410276</xdr:colOff>
      <xdr:row>73</xdr:row>
      <xdr:rowOff>9525</xdr:rowOff>
    </xdr:to>
    <xdr:grpSp>
      <xdr:nvGrpSpPr>
        <xdr:cNvPr id="12" name="Group 11">
          <a:extLst>
            <a:ext uri="{FF2B5EF4-FFF2-40B4-BE49-F238E27FC236}">
              <a16:creationId xmlns:a16="http://schemas.microsoft.com/office/drawing/2014/main" id="{A2FEEFDF-FC7B-489E-A051-0EFE3B72B0DB}"/>
            </a:ext>
          </a:extLst>
        </xdr:cNvPr>
        <xdr:cNvGrpSpPr/>
      </xdr:nvGrpSpPr>
      <xdr:grpSpPr>
        <a:xfrm>
          <a:off x="876300" y="12239625"/>
          <a:ext cx="5020376" cy="2276475"/>
          <a:chOff x="857250" y="12249150"/>
          <a:chExt cx="5020376" cy="2276475"/>
        </a:xfrm>
      </xdr:grpSpPr>
      <xdr:pic>
        <xdr:nvPicPr>
          <xdr:cNvPr id="13" name="Picture 12">
            <a:extLst>
              <a:ext uri="{FF2B5EF4-FFF2-40B4-BE49-F238E27FC236}">
                <a16:creationId xmlns:a16="http://schemas.microsoft.com/office/drawing/2014/main" id="{1F31802B-4B12-3696-94AE-57FA607A133C}"/>
              </a:ext>
            </a:extLst>
          </xdr:cNvPr>
          <xdr:cNvPicPr>
            <a:picLocks noChangeAspect="1"/>
          </xdr:cNvPicPr>
        </xdr:nvPicPr>
        <xdr:blipFill>
          <a:blip xmlns:r="http://schemas.openxmlformats.org/officeDocument/2006/relationships" r:embed="rId5"/>
          <a:stretch>
            <a:fillRect/>
          </a:stretch>
        </xdr:blipFill>
        <xdr:spPr>
          <a:xfrm>
            <a:off x="857250" y="12249150"/>
            <a:ext cx="5020376" cy="2257740"/>
          </a:xfrm>
          <a:prstGeom prst="rect">
            <a:avLst/>
          </a:prstGeom>
          <a:ln>
            <a:noFill/>
          </a:ln>
          <a:effectLst>
            <a:outerShdw blurRad="190500" algn="tl" rotWithShape="0">
              <a:srgbClr val="000000">
                <a:alpha val="70000"/>
              </a:srgbClr>
            </a:outerShdw>
          </a:effectLst>
        </xdr:spPr>
      </xdr:pic>
      <xdr:cxnSp macro="">
        <xdr:nvCxnSpPr>
          <xdr:cNvPr id="14" name="Straight Arrow Connector 13">
            <a:extLst>
              <a:ext uri="{FF2B5EF4-FFF2-40B4-BE49-F238E27FC236}">
                <a16:creationId xmlns:a16="http://schemas.microsoft.com/office/drawing/2014/main" id="{BF7ED358-080E-ABB6-F641-EFE847A6143F}"/>
              </a:ext>
            </a:extLst>
          </xdr:cNvPr>
          <xdr:cNvCxnSpPr/>
        </xdr:nvCxnSpPr>
        <xdr:spPr>
          <a:xfrm flipH="1">
            <a:off x="3952875" y="13515975"/>
            <a:ext cx="647700" cy="60960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 name="Rectangle: Rounded Corners 14">
            <a:extLst>
              <a:ext uri="{FF2B5EF4-FFF2-40B4-BE49-F238E27FC236}">
                <a16:creationId xmlns:a16="http://schemas.microsoft.com/office/drawing/2014/main" id="{C3822EC7-94FD-D3AA-8B6B-8543D231B299}"/>
              </a:ext>
            </a:extLst>
          </xdr:cNvPr>
          <xdr:cNvSpPr/>
        </xdr:nvSpPr>
        <xdr:spPr>
          <a:xfrm>
            <a:off x="3362324" y="14173200"/>
            <a:ext cx="847725" cy="352425"/>
          </a:xfrm>
          <a:prstGeom prst="round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noAutofit/>
          </a:bodyPr>
          <a:lstStyle/>
          <a:p>
            <a:pPr algn="ctr"/>
            <a:endParaRPr lang="en-US" sz="1100"/>
          </a:p>
        </xdr:txBody>
      </xdr:sp>
      <xdr:sp macro="" textlink="">
        <xdr:nvSpPr>
          <xdr:cNvPr id="16" name="Rectangle: Rounded Corners 15">
            <a:extLst>
              <a:ext uri="{FF2B5EF4-FFF2-40B4-BE49-F238E27FC236}">
                <a16:creationId xmlns:a16="http://schemas.microsoft.com/office/drawing/2014/main" id="{73F169DC-E079-8C51-A244-87B65CF51D2A}"/>
              </a:ext>
            </a:extLst>
          </xdr:cNvPr>
          <xdr:cNvSpPr/>
        </xdr:nvSpPr>
        <xdr:spPr>
          <a:xfrm>
            <a:off x="1685925" y="12830176"/>
            <a:ext cx="704850" cy="285750"/>
          </a:xfrm>
          <a:prstGeom prst="round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noAutofit/>
          </a:bodyPr>
          <a:lstStyle/>
          <a:p>
            <a:pPr algn="ctr"/>
            <a:endParaRPr lang="en-US" sz="1100"/>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23097</xdr:colOff>
      <xdr:row>6</xdr:row>
      <xdr:rowOff>63683</xdr:rowOff>
    </xdr:from>
    <xdr:to>
      <xdr:col>14</xdr:col>
      <xdr:colOff>11206</xdr:colOff>
      <xdr:row>14</xdr:row>
      <xdr:rowOff>100853</xdr:rowOff>
    </xdr:to>
    <xdr:sp macro="" textlink="">
      <xdr:nvSpPr>
        <xdr:cNvPr id="2" name="TextBox 1">
          <a:extLst>
            <a:ext uri="{FF2B5EF4-FFF2-40B4-BE49-F238E27FC236}">
              <a16:creationId xmlns:a16="http://schemas.microsoft.com/office/drawing/2014/main" id="{9A64C6B5-EDE2-4DCC-AB52-3E60407E2E8D}"/>
            </a:ext>
          </a:extLst>
        </xdr:cNvPr>
        <xdr:cNvSpPr txBox="1"/>
      </xdr:nvSpPr>
      <xdr:spPr>
        <a:xfrm>
          <a:off x="23097" y="1330508"/>
          <a:ext cx="18990484" cy="1542120"/>
        </a:xfrm>
        <a:prstGeom prst="rect">
          <a:avLst/>
        </a:prstGeom>
        <a:solidFill>
          <a:schemeClr val="lt1"/>
        </a:solidFill>
        <a:ln w="952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00B0F0"/>
              </a:solidFill>
            </a:rPr>
            <a:t>Category</a:t>
          </a:r>
          <a:r>
            <a:rPr lang="en-US" sz="1200" b="1" baseline="0">
              <a:solidFill>
                <a:srgbClr val="00B0F0"/>
              </a:solidFill>
            </a:rPr>
            <a:t> Description and Emissions Methodology</a:t>
          </a:r>
        </a:p>
        <a:p>
          <a:r>
            <a:rPr lang="en-US" sz="1100" b="1" i="0" baseline="0">
              <a:solidFill>
                <a:schemeClr val="dk1"/>
              </a:solidFill>
              <a:effectLst/>
              <a:latin typeface="+mn-lt"/>
              <a:ea typeface="+mn-ea"/>
              <a:cs typeface="+mn-cs"/>
            </a:rPr>
            <a:t>Purchased Goods and Services</a:t>
          </a:r>
          <a:r>
            <a:rPr lang="en-US" sz="1100" i="0" baseline="0">
              <a:solidFill>
                <a:schemeClr val="dk1"/>
              </a:solidFill>
              <a:effectLst/>
              <a:latin typeface="+mn-lt"/>
              <a:ea typeface="+mn-ea"/>
              <a:cs typeface="+mn-cs"/>
            </a:rPr>
            <a:t>: In</a:t>
          </a:r>
          <a:r>
            <a:rPr lang="en-US" sz="1100" b="0" i="0" baseline="0">
              <a:solidFill>
                <a:schemeClr val="dk1"/>
              </a:solidFill>
              <a:effectLst/>
              <a:latin typeface="+mn-lt"/>
              <a:ea typeface="+mn-ea"/>
              <a:cs typeface="+mn-cs"/>
            </a:rPr>
            <a:t>cludes all upstream (i.e., cradle-to-gate) emissions from the production of products purchased or acquired by the reporting company in the reporting year. Products include both goods (tangible products) and services (intangible products).</a:t>
          </a:r>
          <a:br>
            <a:rPr lang="en-US" sz="1100" b="0" i="0" baseline="0">
              <a:solidFill>
                <a:schemeClr val="dk1"/>
              </a:solidFill>
              <a:effectLst/>
              <a:latin typeface="+mn-lt"/>
              <a:ea typeface="+mn-ea"/>
              <a:cs typeface="+mn-cs"/>
            </a:rPr>
          </a:br>
          <a:r>
            <a:rPr lang="en-US" sz="1100" b="1" i="0" u="none" strike="noStrike" baseline="0">
              <a:solidFill>
                <a:schemeClr val="dk1"/>
              </a:solidFill>
              <a:latin typeface="+mn-lt"/>
              <a:ea typeface="+mn-ea"/>
              <a:cs typeface="+mn-cs"/>
            </a:rPr>
            <a:t>Capital Goods</a:t>
          </a:r>
          <a:r>
            <a:rPr lang="en-US" sz="1100" b="0" i="0" u="none" strike="noStrike" baseline="0">
              <a:solidFill>
                <a:schemeClr val="dk1"/>
              </a:solidFill>
              <a:latin typeface="+mn-lt"/>
              <a:ea typeface="+mn-ea"/>
              <a:cs typeface="+mn-cs"/>
            </a:rPr>
            <a:t>: </a:t>
          </a:r>
          <a:r>
            <a:rPr lang="en-US" sz="1100" i="0" baseline="0">
              <a:solidFill>
                <a:schemeClr val="dk1"/>
              </a:solidFill>
              <a:effectLst/>
              <a:latin typeface="+mn-lt"/>
              <a:ea typeface="+mn-ea"/>
              <a:cs typeface="+mn-cs"/>
            </a:rPr>
            <a:t>In</a:t>
          </a:r>
          <a:r>
            <a:rPr lang="en-US" sz="1100" b="0" i="0" baseline="0">
              <a:solidFill>
                <a:schemeClr val="dk1"/>
              </a:solidFill>
              <a:effectLst/>
              <a:latin typeface="+mn-lt"/>
              <a:ea typeface="+mn-ea"/>
              <a:cs typeface="+mn-cs"/>
            </a:rPr>
            <a:t>cludes all upstream (i.e., cradle-to-gate) emissions from the production of capital goods purchased or acquired by the reporting company in the reporting year. Emissions from the use of capital goods by the reporting company are accounted for in either scope 1 (e.g., for fuel use) or scope 2 (e.g., for electricity use),</a:t>
          </a:r>
          <a:endParaRPr lang="en-US">
            <a:effectLst/>
          </a:endParaRPr>
        </a:p>
        <a:p>
          <a:r>
            <a:rPr lang="en-US" sz="1100" b="0" i="0" baseline="0">
              <a:solidFill>
                <a:schemeClr val="dk1"/>
              </a:solidFill>
              <a:effectLst/>
              <a:latin typeface="+mn-lt"/>
              <a:ea typeface="+mn-ea"/>
              <a:cs typeface="+mn-cs"/>
            </a:rPr>
            <a:t>rather than in scope 3.</a:t>
          </a:r>
          <a:br>
            <a:rPr lang="en-US" sz="1100" b="0" i="0" baseline="0">
              <a:solidFill>
                <a:schemeClr val="dk1"/>
              </a:solidFill>
              <a:effectLst/>
              <a:latin typeface="+mn-lt"/>
              <a:ea typeface="+mn-ea"/>
              <a:cs typeface="+mn-cs"/>
            </a:rPr>
          </a:br>
          <a:r>
            <a:rPr lang="en-US" sz="1100" b="1" i="1" u="none" strike="noStrike" baseline="0">
              <a:solidFill>
                <a:schemeClr val="dk1"/>
              </a:solidFill>
              <a:latin typeface="+mn-lt"/>
              <a:ea typeface="+mn-ea"/>
              <a:cs typeface="+mn-cs"/>
            </a:rPr>
            <a:t>Exclusions</a:t>
          </a:r>
          <a:r>
            <a:rPr lang="en-US" sz="1100" b="0" i="0" u="none" strike="noStrike" baseline="0">
              <a:solidFill>
                <a:schemeClr val="dk1"/>
              </a:solidFill>
              <a:latin typeface="+mn-lt"/>
              <a:ea typeface="+mn-ea"/>
              <a:cs typeface="+mn-cs"/>
            </a:rPr>
            <a:t>: </a:t>
          </a:r>
          <a:r>
            <a:rPr lang="en-US" sz="1100" b="0" i="0" u="none" strike="noStrike" baseline="0">
              <a:solidFill>
                <a:schemeClr val="dk1"/>
              </a:solidFill>
              <a:effectLst/>
              <a:latin typeface="+mn-lt"/>
              <a:ea typeface="+mn-ea"/>
              <a:cs typeface="+mn-cs"/>
            </a:rPr>
            <a:t>A</a:t>
          </a:r>
          <a:r>
            <a:rPr lang="en-US" sz="1100" baseline="0">
              <a:solidFill>
                <a:schemeClr val="dk1"/>
              </a:solidFill>
              <a:effectLst/>
              <a:latin typeface="+mn-lt"/>
              <a:ea typeface="+mn-ea"/>
              <a:cs typeface="+mn-cs"/>
            </a:rPr>
            <a:t>ny payments to employees (e.g., payroll, 401k matches, benefits, etc.), taxes, utility payments (e.g., electricity, gas, fuel, etc.), transportation costs (use other categories), waste services, etc.</a:t>
          </a:r>
        </a:p>
        <a:p>
          <a:endParaRPr lang="en-US" sz="1100" b="1" i="1" baseline="0">
            <a:solidFill>
              <a:srgbClr val="FF0000"/>
            </a:solidFill>
            <a:effectLst/>
            <a:latin typeface="+mn-lt"/>
            <a:ea typeface="+mn-ea"/>
            <a:cs typeface="+mn-cs"/>
          </a:endParaRPr>
        </a:p>
        <a:p>
          <a:r>
            <a:rPr lang="en-US" sz="1100" b="1" i="1" baseline="0">
              <a:solidFill>
                <a:srgbClr val="FF0000"/>
              </a:solidFill>
              <a:effectLst/>
              <a:latin typeface="+mn-lt"/>
              <a:ea typeface="+mn-ea"/>
              <a:cs typeface="+mn-cs"/>
            </a:rPr>
            <a:t>Note, use tabs "Cat 1 (Goods &amp; Services)" and/or "Cat 2 (Capital Goods)" if only annual procurement spend data is available.</a:t>
          </a:r>
          <a:endParaRPr lang="en-US" sz="1100" baseline="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endParaRPr lang="en-US"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22413</xdr:colOff>
      <xdr:row>6</xdr:row>
      <xdr:rowOff>22412</xdr:rowOff>
    </xdr:from>
    <xdr:to>
      <xdr:col>8</xdr:col>
      <xdr:colOff>11206</xdr:colOff>
      <xdr:row>10</xdr:row>
      <xdr:rowOff>137583</xdr:rowOff>
    </xdr:to>
    <xdr:sp macro="" textlink="">
      <xdr:nvSpPr>
        <xdr:cNvPr id="2" name="TextBox 1">
          <a:extLst>
            <a:ext uri="{FF2B5EF4-FFF2-40B4-BE49-F238E27FC236}">
              <a16:creationId xmlns:a16="http://schemas.microsoft.com/office/drawing/2014/main" id="{27421C62-F3E7-4058-A36E-4F37B515C272}"/>
            </a:ext>
          </a:extLst>
        </xdr:cNvPr>
        <xdr:cNvSpPr txBox="1"/>
      </xdr:nvSpPr>
      <xdr:spPr>
        <a:xfrm>
          <a:off x="22413" y="358588"/>
          <a:ext cx="13693587" cy="888377"/>
        </a:xfrm>
        <a:prstGeom prst="rect">
          <a:avLst/>
        </a:prstGeom>
        <a:solidFill>
          <a:schemeClr val="lt1"/>
        </a:solidFill>
        <a:ln w="952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00B0F0"/>
              </a:solidFill>
            </a:rPr>
            <a:t>Category</a:t>
          </a:r>
          <a:r>
            <a:rPr lang="en-US" sz="1200" b="1" baseline="0">
              <a:solidFill>
                <a:srgbClr val="00B0F0"/>
              </a:solidFill>
            </a:rPr>
            <a:t> Description and Emissions Methodology</a:t>
          </a:r>
        </a:p>
        <a:p>
          <a:r>
            <a:rPr lang="en-US" sz="1100" b="1" baseline="0">
              <a:solidFill>
                <a:sysClr val="windowText" lastClr="000000"/>
              </a:solidFill>
            </a:rPr>
            <a:t>Fuel- and Energy-Related Activities: </a:t>
          </a:r>
          <a:r>
            <a:rPr lang="en-US" sz="1100" b="0" i="0" u="none" strike="noStrike" baseline="0">
              <a:solidFill>
                <a:schemeClr val="dk1"/>
              </a:solidFill>
              <a:latin typeface="+mn-lt"/>
              <a:ea typeface="+mn-ea"/>
              <a:cs typeface="+mn-cs"/>
            </a:rPr>
            <a:t>Extraction, production, and transportation of fuels and energy purchased or acquired by the reporting company in the reporting year, not already accounted for in scope 1 or scope 2, including: Upstream emissions of purchased fuels (Table 1 below), upstream emissions of purchased electricity (Table 2 below), transmission &amp; distribution losses (Table 3 below).</a:t>
          </a:r>
        </a:p>
        <a:p>
          <a:r>
            <a:rPr lang="en-US" sz="1100" b="0" i="0" u="none" strike="noStrike" baseline="0">
              <a:solidFill>
                <a:schemeClr val="dk1"/>
              </a:solidFill>
              <a:latin typeface="+mn-lt"/>
              <a:ea typeface="+mn-ea"/>
              <a:cs typeface="+mn-cs"/>
            </a:rPr>
            <a:t>The calculations are based on the "average-data method", using standard emission factors and usage data.</a:t>
          </a:r>
        </a:p>
        <a:p>
          <a:endParaRPr lang="en-US" sz="1100" b="1" baseline="0">
            <a:solidFill>
              <a:sysClr val="windowText" lastClr="000000"/>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15208</xdr:colOff>
      <xdr:row>5</xdr:row>
      <xdr:rowOff>6624</xdr:rowOff>
    </xdr:from>
    <xdr:to>
      <xdr:col>7</xdr:col>
      <xdr:colOff>0</xdr:colOff>
      <xdr:row>10</xdr:row>
      <xdr:rowOff>190500</xdr:rowOff>
    </xdr:to>
    <xdr:sp macro="" textlink="">
      <xdr:nvSpPr>
        <xdr:cNvPr id="2" name="TextBox 1">
          <a:extLst>
            <a:ext uri="{FF2B5EF4-FFF2-40B4-BE49-F238E27FC236}">
              <a16:creationId xmlns:a16="http://schemas.microsoft.com/office/drawing/2014/main" id="{7CECF024-6881-44D0-B248-C9080EEAE370}"/>
            </a:ext>
          </a:extLst>
        </xdr:cNvPr>
        <xdr:cNvSpPr txBox="1"/>
      </xdr:nvSpPr>
      <xdr:spPr>
        <a:xfrm>
          <a:off x="15208" y="981536"/>
          <a:ext cx="19864027" cy="1528582"/>
        </a:xfrm>
        <a:prstGeom prst="rect">
          <a:avLst/>
        </a:prstGeom>
        <a:solidFill>
          <a:schemeClr val="lt1"/>
        </a:solidFill>
        <a:ln w="952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00B0F0"/>
              </a:solidFill>
            </a:rPr>
            <a:t>Category</a:t>
          </a:r>
          <a:r>
            <a:rPr lang="en-US" sz="1200" b="1" baseline="0">
              <a:solidFill>
                <a:srgbClr val="00B0F0"/>
              </a:solidFill>
            </a:rPr>
            <a:t> Description and Emissions Methodology</a:t>
          </a:r>
        </a:p>
        <a:p>
          <a:r>
            <a:rPr lang="en-US" sz="1100" b="1" baseline="0"/>
            <a:t>Upstream Transportation &amp; Distribution:</a:t>
          </a:r>
          <a:r>
            <a:rPr lang="en-US" sz="1100" baseline="0"/>
            <a:t> </a:t>
          </a:r>
          <a:r>
            <a:rPr lang="en-US" sz="1100" b="0" i="0" u="none" strike="noStrike" baseline="0">
              <a:solidFill>
                <a:schemeClr val="dk1"/>
              </a:solidFill>
              <a:latin typeface="+mn-lt"/>
              <a:ea typeface="+mn-ea"/>
              <a:cs typeface="+mn-cs"/>
            </a:rPr>
            <a:t>Upstream transportation and distribution of products or services purchased by the reporting company in the reporting year between a company’s tier 1 suppliers and its own operations (in vehicles and facilities not owned or controlled by the reporting company). For example, this may include freight costs to ship purchased goods to healthcare facilities.</a:t>
          </a:r>
        </a:p>
        <a:p>
          <a:endParaRPr lang="en-US" sz="1100" b="0" i="0" u="none" strike="noStrike"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baseline="0">
              <a:solidFill>
                <a:schemeClr val="dk1"/>
              </a:solidFill>
              <a:effectLst/>
              <a:latin typeface="+mn-lt"/>
              <a:ea typeface="+mn-ea"/>
              <a:cs typeface="+mn-cs"/>
            </a:rPr>
            <a:t>The "spend-based" method is presented here, where emissions are based on the mode of transport and national average emission factors.</a:t>
          </a:r>
          <a:br>
            <a:rPr lang="en-US" sz="1100" b="0" baseline="0">
              <a:solidFill>
                <a:schemeClr val="dk1"/>
              </a:solidFill>
              <a:effectLst/>
              <a:latin typeface="+mn-lt"/>
              <a:ea typeface="+mn-ea"/>
              <a:cs typeface="+mn-cs"/>
            </a:rPr>
          </a:br>
          <a:endParaRPr lang="en-US" sz="1100" b="1" i="1" baseline="0">
            <a:solidFill>
              <a:srgbClr val="FF0000"/>
            </a:solidFill>
            <a:effectLst/>
            <a:latin typeface="+mn-lt"/>
            <a:ea typeface="+mn-ea"/>
            <a:cs typeface="+mn-cs"/>
          </a:endParaRPr>
        </a:p>
        <a:p>
          <a:r>
            <a:rPr lang="en-US" sz="1400" b="1" i="1" baseline="0">
              <a:solidFill>
                <a:srgbClr val="FF0000"/>
              </a:solidFill>
              <a:effectLst/>
              <a:latin typeface="+mn-lt"/>
              <a:ea typeface="+mn-ea"/>
              <a:cs typeface="+mn-cs"/>
            </a:rPr>
            <a:t>Note, if supplier-specific calculations have been made, or outside sources were used to determine category 1 emissions, please reference the darker blue "Custom Emissions Inputs - other" tab, which allows for user input of</a:t>
          </a:r>
        </a:p>
        <a:p>
          <a:r>
            <a:rPr lang="en-US" sz="1400" b="1" i="1" baseline="0">
              <a:solidFill>
                <a:srgbClr val="FF0000"/>
              </a:solidFill>
              <a:effectLst/>
              <a:latin typeface="+mn-lt"/>
              <a:ea typeface="+mn-ea"/>
              <a:cs typeface="+mn-cs"/>
            </a:rPr>
            <a:t>emissions factors and totals.</a:t>
          </a:r>
          <a:br>
            <a:rPr lang="en-US" sz="1400" b="1" i="1" baseline="0">
              <a:solidFill>
                <a:srgbClr val="FF0000"/>
              </a:solidFill>
              <a:effectLst/>
              <a:latin typeface="+mn-lt"/>
              <a:ea typeface="+mn-ea"/>
              <a:cs typeface="+mn-cs"/>
            </a:rPr>
          </a:br>
          <a:endParaRPr lang="en-US" sz="1400" b="1" i="1" baseline="0">
            <a:solidFill>
              <a:srgbClr val="FF0000"/>
            </a:solidFill>
            <a:effectLst/>
            <a:latin typeface="+mn-lt"/>
            <a:ea typeface="+mn-ea"/>
            <a:cs typeface="+mn-cs"/>
          </a:endParaRPr>
        </a:p>
        <a:p>
          <a:endParaRPr lang="en-US" sz="1400" b="1" i="1" baseline="0">
            <a:solidFill>
              <a:srgbClr val="FF0000"/>
            </a:solidFill>
            <a:effectLst/>
            <a:latin typeface="+mn-lt"/>
            <a:ea typeface="+mn-ea"/>
            <a:cs typeface="+mn-cs"/>
          </a:endParaRPr>
        </a:p>
        <a:p>
          <a:endParaRPr lang="en-US" sz="1400">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b="0" i="0" u="none" strike="noStrike" baseline="0">
            <a:solidFill>
              <a:schemeClr val="dk1"/>
            </a:solidFill>
            <a:latin typeface="+mn-lt"/>
            <a:ea typeface="+mn-ea"/>
            <a:cs typeface="+mn-cs"/>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47120</xdr:colOff>
      <xdr:row>14</xdr:row>
      <xdr:rowOff>23376</xdr:rowOff>
    </xdr:from>
    <xdr:to>
      <xdr:col>7</xdr:col>
      <xdr:colOff>11207</xdr:colOff>
      <xdr:row>17</xdr:row>
      <xdr:rowOff>190500</xdr:rowOff>
    </xdr:to>
    <xdr:sp macro="" textlink="">
      <xdr:nvSpPr>
        <xdr:cNvPr id="2" name="TextBox 1">
          <a:extLst>
            <a:ext uri="{FF2B5EF4-FFF2-40B4-BE49-F238E27FC236}">
              <a16:creationId xmlns:a16="http://schemas.microsoft.com/office/drawing/2014/main" id="{0F6CA37B-6B0D-4517-AFAD-1AE34AC01E63}"/>
            </a:ext>
          </a:extLst>
        </xdr:cNvPr>
        <xdr:cNvSpPr txBox="1"/>
      </xdr:nvSpPr>
      <xdr:spPr>
        <a:xfrm>
          <a:off x="47120" y="2242141"/>
          <a:ext cx="11293234" cy="873094"/>
        </a:xfrm>
        <a:prstGeom prst="rect">
          <a:avLst/>
        </a:prstGeom>
        <a:solidFill>
          <a:schemeClr val="lt1"/>
        </a:solidFill>
        <a:ln w="952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00B0F0"/>
              </a:solidFill>
            </a:rPr>
            <a:t>Category</a:t>
          </a:r>
          <a:r>
            <a:rPr lang="en-US" sz="1200" b="1" baseline="0">
              <a:solidFill>
                <a:srgbClr val="00B0F0"/>
              </a:solidFill>
            </a:rPr>
            <a:t> Description and Emissions Methodology</a:t>
          </a:r>
        </a:p>
        <a:p>
          <a:pPr marL="0" marR="0" lvl="0" indent="0" defTabSz="914400" eaLnBrk="1" fontAlgn="auto" latinLnBrk="0" hangingPunct="1">
            <a:lnSpc>
              <a:spcPct val="100000"/>
            </a:lnSpc>
            <a:spcBef>
              <a:spcPts val="0"/>
            </a:spcBef>
            <a:spcAft>
              <a:spcPts val="0"/>
            </a:spcAft>
            <a:buClrTx/>
            <a:buSzTx/>
            <a:buFontTx/>
            <a:buNone/>
            <a:tabLst/>
            <a:defRPr/>
          </a:pPr>
          <a:r>
            <a:rPr lang="en-US" sz="1100" b="1" baseline="0">
              <a:solidFill>
                <a:sysClr val="windowText" lastClr="000000"/>
              </a:solidFill>
            </a:rPr>
            <a:t>Waste Generated in Operations: </a:t>
          </a:r>
          <a:r>
            <a:rPr lang="en-US" sz="1100" b="0" i="0" u="none" strike="noStrike" baseline="0">
              <a:solidFill>
                <a:schemeClr val="dk1"/>
              </a:solidFill>
              <a:latin typeface="+mn-lt"/>
              <a:ea typeface="+mn-ea"/>
              <a:cs typeface="+mn-cs"/>
            </a:rPr>
            <a:t>Disposal and treatment of waste generated in the reporting company’s operations in the reporting year (in facilities not owned or controlled by the reporting company). The "average-data method" is presented here to estimate emissions based on the quantity and general category of waste, as well as the method of disposal/treatment. </a:t>
          </a:r>
          <a:br>
            <a:rPr lang="en-US" sz="1100" b="0" i="0" u="none" strike="noStrike" baseline="0">
              <a:solidFill>
                <a:schemeClr val="dk1"/>
              </a:solidFill>
              <a:latin typeface="+mn-lt"/>
              <a:ea typeface="+mn-ea"/>
              <a:cs typeface="+mn-cs"/>
            </a:rPr>
          </a:br>
          <a:r>
            <a:rPr lang="en-US" sz="1100" b="1" i="1" baseline="0">
              <a:solidFill>
                <a:sysClr val="windowText" lastClr="000000"/>
              </a:solidFill>
              <a:effectLst/>
              <a:latin typeface="+mn-lt"/>
              <a:ea typeface="+mn-ea"/>
              <a:cs typeface="+mn-cs"/>
            </a:rPr>
            <a:t>Note, if emissions calculations have been conducted outside of this tool, users can input totals here in the custom emissions sections, </a:t>
          </a:r>
          <a:r>
            <a:rPr lang="en-US" sz="1100" b="1" i="1" baseline="0">
              <a:solidFill>
                <a:srgbClr val="FF0000"/>
              </a:solidFill>
              <a:effectLst/>
              <a:latin typeface="+mn-lt"/>
              <a:ea typeface="+mn-ea"/>
              <a:cs typeface="+mn-cs"/>
            </a:rPr>
            <a:t>where indicated in red below each table.</a:t>
          </a:r>
          <a:endParaRPr lang="en-US">
            <a:solidFill>
              <a:srgbClr val="FF0000"/>
            </a:solidFill>
            <a:effectLst/>
          </a:endParaRP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endParaRPr lang="en-US" sz="1100" b="1" baseline="0">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1363134</xdr:colOff>
      <xdr:row>0</xdr:row>
      <xdr:rowOff>69125</xdr:rowOff>
    </xdr:from>
    <xdr:to>
      <xdr:col>1</xdr:col>
      <xdr:colOff>3093509</xdr:colOff>
      <xdr:row>0</xdr:row>
      <xdr:rowOff>1113353</xdr:rowOff>
    </xdr:to>
    <xdr:pic>
      <xdr:nvPicPr>
        <xdr:cNvPr id="2" name="Imagen 3">
          <a:extLst>
            <a:ext uri="{FF2B5EF4-FFF2-40B4-BE49-F238E27FC236}">
              <a16:creationId xmlns:a16="http://schemas.microsoft.com/office/drawing/2014/main" id="{E822BD7E-5090-410C-A5A9-72D23E3F85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82259" y="69125"/>
          <a:ext cx="1730375" cy="1044228"/>
        </a:xfrm>
        <a:prstGeom prst="rect">
          <a:avLst/>
        </a:prstGeom>
      </xdr:spPr>
    </xdr:pic>
    <xdr:clientData/>
  </xdr:twoCellAnchor>
  <xdr:twoCellAnchor editAs="oneCell">
    <xdr:from>
      <xdr:col>0</xdr:col>
      <xdr:colOff>613834</xdr:colOff>
      <xdr:row>0</xdr:row>
      <xdr:rowOff>39933</xdr:rowOff>
    </xdr:from>
    <xdr:to>
      <xdr:col>1</xdr:col>
      <xdr:colOff>1036109</xdr:colOff>
      <xdr:row>0</xdr:row>
      <xdr:rowOff>1095091</xdr:rowOff>
    </xdr:to>
    <xdr:pic>
      <xdr:nvPicPr>
        <xdr:cNvPr id="3" name="Imagen 5">
          <a:extLst>
            <a:ext uri="{FF2B5EF4-FFF2-40B4-BE49-F238E27FC236}">
              <a16:creationId xmlns:a16="http://schemas.microsoft.com/office/drawing/2014/main" id="{110842EA-5236-41C8-BE03-CE32F44F082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3834" y="39933"/>
          <a:ext cx="1041400" cy="1055158"/>
        </a:xfrm>
        <a:prstGeom prst="rect">
          <a:avLst/>
        </a:prstGeom>
      </xdr:spPr>
    </xdr:pic>
    <xdr:clientData/>
  </xdr:twoCellAnchor>
  <xdr:twoCellAnchor editAs="oneCell">
    <xdr:from>
      <xdr:col>1</xdr:col>
      <xdr:colOff>3321847</xdr:colOff>
      <xdr:row>0</xdr:row>
      <xdr:rowOff>154782</xdr:rowOff>
    </xdr:from>
    <xdr:to>
      <xdr:col>1</xdr:col>
      <xdr:colOff>4296049</xdr:colOff>
      <xdr:row>0</xdr:row>
      <xdr:rowOff>988220</xdr:rowOff>
    </xdr:to>
    <xdr:pic>
      <xdr:nvPicPr>
        <xdr:cNvPr id="4" name="Picture 3">
          <a:extLst>
            <a:ext uri="{FF2B5EF4-FFF2-40B4-BE49-F238E27FC236}">
              <a16:creationId xmlns:a16="http://schemas.microsoft.com/office/drawing/2014/main" id="{CC16CEF5-47C1-438B-8D16-857C97291B7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940972" y="154782"/>
          <a:ext cx="974202" cy="83343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37177</xdr:colOff>
      <xdr:row>5</xdr:row>
      <xdr:rowOff>66959</xdr:rowOff>
    </xdr:from>
    <xdr:to>
      <xdr:col>7</xdr:col>
      <xdr:colOff>-1</xdr:colOff>
      <xdr:row>16</xdr:row>
      <xdr:rowOff>67235</xdr:rowOff>
    </xdr:to>
    <xdr:sp macro="" textlink="">
      <xdr:nvSpPr>
        <xdr:cNvPr id="2" name="TextBox 1">
          <a:extLst>
            <a:ext uri="{FF2B5EF4-FFF2-40B4-BE49-F238E27FC236}">
              <a16:creationId xmlns:a16="http://schemas.microsoft.com/office/drawing/2014/main" id="{2922031E-E936-437B-AFA6-7BAE1B005148}"/>
            </a:ext>
          </a:extLst>
        </xdr:cNvPr>
        <xdr:cNvSpPr txBox="1"/>
      </xdr:nvSpPr>
      <xdr:spPr>
        <a:xfrm>
          <a:off x="37177" y="1041871"/>
          <a:ext cx="22576293" cy="1972511"/>
        </a:xfrm>
        <a:prstGeom prst="rect">
          <a:avLst/>
        </a:prstGeom>
        <a:solidFill>
          <a:schemeClr val="lt1"/>
        </a:solidFill>
        <a:ln w="952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00B0F0"/>
              </a:solidFill>
            </a:rPr>
            <a:t>Category</a:t>
          </a:r>
          <a:r>
            <a:rPr lang="en-US" sz="1200" b="1" baseline="0">
              <a:solidFill>
                <a:srgbClr val="00B0F0"/>
              </a:solidFill>
            </a:rPr>
            <a:t> Description and Emissions Methodology</a:t>
          </a:r>
        </a:p>
        <a:p>
          <a:r>
            <a:rPr lang="en-US" sz="1100" b="1" baseline="0">
              <a:solidFill>
                <a:sysClr val="windowText" lastClr="000000"/>
              </a:solidFill>
            </a:rPr>
            <a:t>Business Travel: </a:t>
          </a:r>
          <a:r>
            <a:rPr lang="en-US" sz="1100" b="0" i="0" u="none" strike="noStrike" baseline="0">
              <a:solidFill>
                <a:schemeClr val="dk1"/>
              </a:solidFill>
              <a:latin typeface="+mn-lt"/>
              <a:ea typeface="+mn-ea"/>
              <a:cs typeface="+mn-cs"/>
            </a:rPr>
            <a:t>Transportation of employees for business-related activities during the reporting year (in vehicles not owned or operated by the reporting company). </a:t>
          </a:r>
        </a:p>
        <a:p>
          <a:r>
            <a:rPr lang="en-US" sz="1100" b="0" i="1" u="none" strike="noStrike" baseline="0">
              <a:solidFill>
                <a:schemeClr val="dk1"/>
              </a:solidFill>
              <a:latin typeface="+mn-lt"/>
              <a:ea typeface="+mn-ea"/>
              <a:cs typeface="+mn-cs"/>
            </a:rPr>
            <a:t>Examples include</a:t>
          </a:r>
          <a:r>
            <a:rPr lang="en-US" sz="1100" b="0" i="0" u="none" strike="noStrike" baseline="0">
              <a:solidFill>
                <a:schemeClr val="dk1"/>
              </a:solidFill>
              <a:latin typeface="+mn-lt"/>
              <a:ea typeface="+mn-ea"/>
              <a:cs typeface="+mn-cs"/>
            </a:rPr>
            <a:t>: </a:t>
          </a:r>
          <a:r>
            <a:rPr lang="en-US" sz="1100" b="0" i="0" u="none" strike="noStrike" baseline="0">
              <a:solidFill>
                <a:schemeClr val="dk1"/>
              </a:solidFill>
              <a:effectLst/>
              <a:latin typeface="+mn-lt"/>
              <a:ea typeface="+mn-ea"/>
              <a:cs typeface="+mn-cs"/>
            </a:rPr>
            <a:t>A</a:t>
          </a:r>
          <a:r>
            <a:rPr lang="en-US" sz="1100" baseline="0">
              <a:solidFill>
                <a:schemeClr val="dk1"/>
              </a:solidFill>
              <a:effectLst/>
              <a:latin typeface="+mn-lt"/>
              <a:ea typeface="+mn-ea"/>
              <a:cs typeface="+mn-cs"/>
            </a:rPr>
            <a:t>ir travel, rental car, rail travel, hotel stay, etc.</a:t>
          </a:r>
        </a:p>
        <a:p>
          <a:endParaRPr lang="en-US" sz="1100" b="1" baseline="0">
            <a:solidFill>
              <a:schemeClr val="dk1"/>
            </a:solidFill>
            <a:effectLst/>
            <a:latin typeface="+mn-lt"/>
            <a:ea typeface="+mn-ea"/>
            <a:cs typeface="+mn-cs"/>
          </a:endParaRPr>
        </a:p>
        <a:p>
          <a:r>
            <a:rPr lang="en-US" sz="1100" b="0" baseline="0">
              <a:solidFill>
                <a:schemeClr val="dk1"/>
              </a:solidFill>
              <a:effectLst/>
              <a:latin typeface="+mn-lt"/>
              <a:ea typeface="+mn-ea"/>
              <a:cs typeface="+mn-cs"/>
            </a:rPr>
            <a:t>The "spend-based" method is presented here in the first table, where emissions are based on the mode of transport and national average emission factors.</a:t>
          </a:r>
        </a:p>
        <a:p>
          <a:r>
            <a:rPr lang="en-US" sz="1100" b="0" baseline="0">
              <a:solidFill>
                <a:schemeClr val="dk1"/>
              </a:solidFill>
              <a:effectLst/>
              <a:latin typeface="+mn-lt"/>
              <a:ea typeface="+mn-ea"/>
              <a:cs typeface="+mn-cs"/>
            </a:rPr>
            <a:t>For "Transportation Mode", please consider the following when making a selection from the drop-down options:</a:t>
          </a:r>
        </a:p>
        <a:p>
          <a:endParaRPr lang="en-US" sz="1050" b="0" baseline="0">
            <a:solidFill>
              <a:schemeClr val="dk1"/>
            </a:solidFill>
            <a:effectLst/>
            <a:latin typeface="+mn-lt"/>
            <a:ea typeface="+mn-ea"/>
            <a:cs typeface="+mn-cs"/>
          </a:endParaRPr>
        </a:p>
        <a:p>
          <a:r>
            <a:rPr lang="en-US" sz="1100" b="0" baseline="0">
              <a:solidFill>
                <a:schemeClr val="dk1"/>
              </a:solidFill>
              <a:effectLst/>
              <a:latin typeface="+mn-lt"/>
              <a:ea typeface="+mn-ea"/>
              <a:cs typeface="+mn-cs"/>
            </a:rPr>
            <a:t>  »  "Rail transport" - should be used primarily for intercity rail (</a:t>
          </a:r>
          <a:r>
            <a:rPr lang="en-US" sz="1100">
              <a:solidFill>
                <a:schemeClr val="dk1"/>
              </a:solidFill>
              <a:effectLst/>
              <a:latin typeface="+mn-lt"/>
              <a:ea typeface="+mn-ea"/>
              <a:cs typeface="+mn-cs"/>
            </a:rPr>
            <a:t>Amtrak long-distance rail between major cities)</a:t>
          </a:r>
        </a:p>
        <a:p>
          <a:r>
            <a:rPr lang="en-US" sz="1100" b="0" baseline="0">
              <a:solidFill>
                <a:schemeClr val="dk1"/>
              </a:solidFill>
              <a:effectLst/>
              <a:latin typeface="+mn-lt"/>
              <a:ea typeface="+mn-ea"/>
              <a:cs typeface="+mn-cs"/>
            </a:rPr>
            <a:t>  »  "Passenger ground transport" - should be used primarily for buses, taxis, Uber/Lyft, commuter rail / light rail (rail service between a central city and adjacent</a:t>
          </a:r>
        </a:p>
        <a:p>
          <a:r>
            <a:rPr lang="en-US" sz="1100" b="0" baseline="0">
              <a:solidFill>
                <a:schemeClr val="dk1"/>
              </a:solidFill>
              <a:effectLst/>
              <a:latin typeface="+mn-lt"/>
              <a:ea typeface="+mn-ea"/>
              <a:cs typeface="+mn-cs"/>
            </a:rPr>
            <a:t>       suburbs), and transit rail (i.e., subway, tram)</a:t>
          </a:r>
        </a:p>
        <a:p>
          <a:r>
            <a:rPr lang="en-US" sz="1100" b="0" baseline="0">
              <a:solidFill>
                <a:schemeClr val="dk1"/>
              </a:solidFill>
              <a:effectLst/>
              <a:latin typeface="+mn-lt"/>
              <a:ea typeface="+mn-ea"/>
              <a:cs typeface="+mn-cs"/>
            </a:rPr>
            <a:t>  »  Other categories ("air transport", "water transport", and "Hotels and campgrounds") should be self explanatory</a:t>
          </a:r>
          <a:endParaRPr lang="en-US">
            <a:effectLst/>
          </a:endParaRPr>
        </a:p>
        <a:p>
          <a:r>
            <a:rPr lang="en-US" sz="1100" b="0" baseline="0">
              <a:solidFill>
                <a:schemeClr val="dk1"/>
              </a:solidFill>
              <a:effectLst/>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1" i="1" baseline="0">
            <a:solidFill>
              <a:srgbClr val="FF0000"/>
            </a:solidFill>
            <a:effectLst/>
            <a:latin typeface="+mn-lt"/>
            <a:ea typeface="+mn-ea"/>
            <a:cs typeface="+mn-cs"/>
          </a:endParaRPr>
        </a:p>
      </xdr:txBody>
    </xdr:sp>
    <xdr:clientData/>
  </xdr:twoCellAnchor>
  <xdr:oneCellAnchor>
    <xdr:from>
      <xdr:col>5</xdr:col>
      <xdr:colOff>1936581</xdr:colOff>
      <xdr:row>6</xdr:row>
      <xdr:rowOff>61122</xdr:rowOff>
    </xdr:from>
    <xdr:ext cx="10782096" cy="1563731"/>
    <xdr:sp macro="" textlink="">
      <xdr:nvSpPr>
        <xdr:cNvPr id="3" name="TextBox 2">
          <a:extLst>
            <a:ext uri="{FF2B5EF4-FFF2-40B4-BE49-F238E27FC236}">
              <a16:creationId xmlns:a16="http://schemas.microsoft.com/office/drawing/2014/main" id="{343C891C-A51C-413B-A21B-50634971FBE9}"/>
            </a:ext>
          </a:extLst>
        </xdr:cNvPr>
        <xdr:cNvSpPr txBox="1"/>
      </xdr:nvSpPr>
      <xdr:spPr>
        <a:xfrm>
          <a:off x="11091787" y="1215328"/>
          <a:ext cx="10782096" cy="1563731"/>
        </a:xfrm>
        <a:prstGeom prst="rect">
          <a:avLst/>
        </a:prstGeom>
        <a:noFill/>
      </xdr:spPr>
      <xdr:txBody>
        <a:bodyPr vertOverflow="clip" horzOverflow="clip" wrap="square" lIns="0" tIns="0" rIns="0" bIns="0" rtlCol="0" anchor="t">
          <a:noAutofit/>
        </a:bodyPr>
        <a:lstStyle/>
        <a:p>
          <a:r>
            <a:rPr lang="en-US" sz="1400" b="1" i="0" baseline="0">
              <a:solidFill>
                <a:srgbClr val="FF0000"/>
              </a:solidFill>
              <a:effectLst/>
              <a:latin typeface="+mn-lt"/>
              <a:ea typeface="+mn-ea"/>
              <a:cs typeface="+mn-cs"/>
            </a:rPr>
            <a:t>Note, it is recommended that users quantify emissions from travel via the distance-based method, see "</a:t>
          </a:r>
          <a:r>
            <a:rPr lang="en-US" sz="1400" b="1" i="1" baseline="0">
              <a:solidFill>
                <a:srgbClr val="FF0000"/>
              </a:solidFill>
              <a:effectLst/>
              <a:latin typeface="+mn-lt"/>
              <a:ea typeface="+mn-ea"/>
              <a:cs typeface="+mn-cs"/>
            </a:rPr>
            <a:t>Cat 6 Business Trave. (distance)</a:t>
          </a:r>
          <a:r>
            <a:rPr lang="en-US" sz="1400" b="1" i="0" baseline="0">
              <a:solidFill>
                <a:srgbClr val="FF0000"/>
              </a:solidFill>
              <a:effectLst/>
              <a:latin typeface="+mn-lt"/>
              <a:ea typeface="+mn-ea"/>
              <a:cs typeface="+mn-cs"/>
            </a:rPr>
            <a:t>", instead of the spend-based method (this tab), if mode and distance information is available. Hotel emissions based on total nights by country can be estimated in that same tab in lieu of the spend-based "</a:t>
          </a:r>
          <a:r>
            <a:rPr lang="en-US" sz="1400" b="1" i="1" baseline="0">
              <a:solidFill>
                <a:srgbClr val="FF0000"/>
              </a:solidFill>
              <a:effectLst/>
              <a:latin typeface="+mn-lt"/>
              <a:ea typeface="+mn-ea"/>
              <a:cs typeface="+mn-cs"/>
            </a:rPr>
            <a:t>hotels and campgrounds</a:t>
          </a:r>
          <a:r>
            <a:rPr lang="en-US" sz="1400" b="1" i="0" baseline="0">
              <a:solidFill>
                <a:srgbClr val="FF0000"/>
              </a:solidFill>
              <a:effectLst/>
              <a:latin typeface="+mn-lt"/>
              <a:ea typeface="+mn-ea"/>
              <a:cs typeface="+mn-cs"/>
            </a:rPr>
            <a:t>" spend-based factor.</a:t>
          </a:r>
          <a:br>
            <a:rPr lang="en-US" sz="1400" b="1" i="0" baseline="0">
              <a:solidFill>
                <a:srgbClr val="FF0000"/>
              </a:solidFill>
              <a:effectLst/>
              <a:latin typeface="+mn-lt"/>
              <a:ea typeface="+mn-ea"/>
              <a:cs typeface="+mn-cs"/>
            </a:rPr>
          </a:br>
          <a:endParaRPr lang="en-US" sz="1400" b="1" i="0" baseline="0">
            <a:solidFill>
              <a:srgbClr val="FF0000"/>
            </a:solidFill>
            <a:effectLst/>
            <a:latin typeface="+mn-lt"/>
            <a:ea typeface="+mn-ea"/>
            <a:cs typeface="+mn-cs"/>
          </a:endParaRPr>
        </a:p>
        <a:p>
          <a:r>
            <a:rPr lang="en-US" sz="1400" b="1" i="0" baseline="0">
              <a:solidFill>
                <a:srgbClr val="FF0000"/>
              </a:solidFill>
              <a:effectLst/>
              <a:latin typeface="+mn-lt"/>
              <a:ea typeface="+mn-ea"/>
              <a:cs typeface="+mn-cs"/>
            </a:rPr>
            <a:t>If supplier-specific calculations have been made, or outside sources were used to determine category 6 emissions, please reference the darker blue "</a:t>
          </a:r>
          <a:r>
            <a:rPr lang="en-US" sz="1400" b="1" i="1" baseline="0">
              <a:solidFill>
                <a:srgbClr val="FF0000"/>
              </a:solidFill>
              <a:effectLst/>
              <a:latin typeface="+mn-lt"/>
              <a:ea typeface="+mn-ea"/>
              <a:cs typeface="+mn-cs"/>
            </a:rPr>
            <a:t>Custom Emissions Inputs - other</a:t>
          </a:r>
          <a:r>
            <a:rPr lang="en-US" sz="1400" b="1" i="0" baseline="0">
              <a:solidFill>
                <a:srgbClr val="FF0000"/>
              </a:solidFill>
              <a:effectLst/>
              <a:latin typeface="+mn-lt"/>
              <a:ea typeface="+mn-ea"/>
              <a:cs typeface="+mn-cs"/>
            </a:rPr>
            <a:t>" tab, which allows for user input of emissions factors and totals.</a:t>
          </a:r>
          <a:endParaRPr lang="en-US" sz="1400" b="1" i="0">
            <a:solidFill>
              <a:srgbClr val="FF0000"/>
            </a:solidFill>
            <a:effectLst/>
          </a:endParaRPr>
        </a:p>
        <a:p>
          <a:endParaRPr lang="en-US" sz="1100" b="1" i="0" baseline="0">
            <a:effectLst/>
            <a:latin typeface="+mn-lt"/>
            <a:ea typeface="+mn-ea"/>
            <a:cs typeface="+mn-cs"/>
          </a:endParaRPr>
        </a:p>
        <a:p>
          <a:endParaRPr lang="en-US" sz="1100" b="1" i="0" baseline="0">
            <a:effectLst/>
            <a:latin typeface="+mn-lt"/>
            <a:ea typeface="+mn-ea"/>
            <a:cs typeface="+mn-cs"/>
          </a:endParaRPr>
        </a:p>
        <a:p>
          <a:endParaRPr lang="en-US" sz="1400" i="0">
            <a:effectLst/>
          </a:endParaRPr>
        </a:p>
        <a:p>
          <a:pPr marL="228600" indent="-228600" algn="l">
            <a:lnSpc>
              <a:spcPct val="112000"/>
            </a:lnSpc>
            <a:spcBef>
              <a:spcPts val="1000"/>
            </a:spcBef>
            <a:buClr>
              <a:schemeClr val="tx2"/>
            </a:buClr>
            <a:buFont typeface="Arial" panose="020B0604020202020204" pitchFamily="34" charset="0"/>
            <a:buChar char="•"/>
          </a:pPr>
          <a:endParaRPr lang="en-US" sz="1100" i="0" dirty="0"/>
        </a:p>
      </xdr:txBody>
    </xdr:sp>
    <xdr:clientData/>
  </xdr:oneCellAnchor>
</xdr:wsDr>
</file>

<file path=xl/drawings/drawing21.xml><?xml version="1.0" encoding="utf-8"?>
<xdr:wsDr xmlns:xdr="http://schemas.openxmlformats.org/drawingml/2006/spreadsheetDrawing" xmlns:a="http://schemas.openxmlformats.org/drawingml/2006/main">
  <xdr:twoCellAnchor>
    <xdr:from>
      <xdr:col>0</xdr:col>
      <xdr:colOff>37178</xdr:colOff>
      <xdr:row>18</xdr:row>
      <xdr:rowOff>66960</xdr:rowOff>
    </xdr:from>
    <xdr:to>
      <xdr:col>8</xdr:col>
      <xdr:colOff>23812</xdr:colOff>
      <xdr:row>31</xdr:row>
      <xdr:rowOff>83345</xdr:rowOff>
    </xdr:to>
    <xdr:sp macro="" textlink="">
      <xdr:nvSpPr>
        <xdr:cNvPr id="2" name="TextBox 1">
          <a:extLst>
            <a:ext uri="{FF2B5EF4-FFF2-40B4-BE49-F238E27FC236}">
              <a16:creationId xmlns:a16="http://schemas.microsoft.com/office/drawing/2014/main" id="{BF2BB7CA-37C4-4DD6-8E13-7460A9D9F68B}"/>
            </a:ext>
          </a:extLst>
        </xdr:cNvPr>
        <xdr:cNvSpPr txBox="1"/>
      </xdr:nvSpPr>
      <xdr:spPr>
        <a:xfrm>
          <a:off x="37178" y="3457860"/>
          <a:ext cx="16017209" cy="2369060"/>
        </a:xfrm>
        <a:prstGeom prst="rect">
          <a:avLst/>
        </a:prstGeom>
        <a:solidFill>
          <a:schemeClr val="lt1"/>
        </a:solidFill>
        <a:ln w="952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00B0F0"/>
              </a:solidFill>
            </a:rPr>
            <a:t>Category</a:t>
          </a:r>
          <a:r>
            <a:rPr lang="en-US" sz="1200" b="1" baseline="0">
              <a:solidFill>
                <a:srgbClr val="00B0F0"/>
              </a:solidFill>
            </a:rPr>
            <a:t> Description and Emissions Methodology</a:t>
          </a:r>
        </a:p>
        <a:p>
          <a:r>
            <a:rPr lang="en-US" sz="1100" b="1" baseline="0">
              <a:solidFill>
                <a:sysClr val="windowText" lastClr="000000"/>
              </a:solidFill>
            </a:rPr>
            <a:t>Business Travel: </a:t>
          </a:r>
          <a:r>
            <a:rPr lang="en-US" sz="1100" b="0" i="0" u="none" strike="noStrike" baseline="0">
              <a:solidFill>
                <a:schemeClr val="dk1"/>
              </a:solidFill>
              <a:latin typeface="+mn-lt"/>
              <a:ea typeface="+mn-ea"/>
              <a:cs typeface="+mn-cs"/>
            </a:rPr>
            <a:t>Transportation of employees for business-related activities during the reporting year (in vehicles not owned or operated by the reporting company). </a:t>
          </a:r>
          <a:r>
            <a:rPr lang="en-US" sz="1100" b="0" i="1" baseline="0">
              <a:solidFill>
                <a:schemeClr val="dk1"/>
              </a:solidFill>
              <a:effectLst/>
              <a:latin typeface="+mn-lt"/>
              <a:ea typeface="+mn-ea"/>
              <a:cs typeface="+mn-cs"/>
            </a:rPr>
            <a:t>Examples include</a:t>
          </a:r>
          <a:r>
            <a:rPr lang="en-US" sz="1100" b="0" i="0" baseline="0">
              <a:solidFill>
                <a:schemeClr val="dk1"/>
              </a:solidFill>
              <a:effectLst/>
              <a:latin typeface="+mn-lt"/>
              <a:ea typeface="+mn-ea"/>
              <a:cs typeface="+mn-cs"/>
            </a:rPr>
            <a:t>: A</a:t>
          </a:r>
          <a:r>
            <a:rPr lang="en-US" sz="1100" baseline="0">
              <a:solidFill>
                <a:schemeClr val="dk1"/>
              </a:solidFill>
              <a:effectLst/>
              <a:latin typeface="+mn-lt"/>
              <a:ea typeface="+mn-ea"/>
              <a:cs typeface="+mn-cs"/>
            </a:rPr>
            <a:t>ir travel, rental car, rail travel, hotel stay, etc. </a:t>
          </a:r>
          <a:endParaRPr lang="en-US" sz="1100" b="0" i="0" u="none" strike="noStrike" baseline="0">
            <a:solidFill>
              <a:schemeClr val="dk1"/>
            </a:solidFill>
            <a:latin typeface="+mn-lt"/>
            <a:ea typeface="+mn-ea"/>
            <a:cs typeface="+mn-cs"/>
          </a:endParaRPr>
        </a:p>
        <a:p>
          <a:r>
            <a:rPr lang="en-US" sz="1100" baseline="0">
              <a:solidFill>
                <a:schemeClr val="dk1"/>
              </a:solidFill>
              <a:effectLst/>
              <a:latin typeface="+mn-lt"/>
              <a:ea typeface="+mn-ea"/>
              <a:cs typeface="+mn-cs"/>
            </a:rPr>
            <a:t>Tables 1 and 2 include emissions spanning the full life cycle of the fuels consumed in travel, or w</a:t>
          </a:r>
          <a:r>
            <a:rPr lang="en-US" sz="1100" b="0" i="0">
              <a:solidFill>
                <a:schemeClr val="dk1"/>
              </a:solidFill>
              <a:effectLst/>
              <a:latin typeface="+mn-lt"/>
              <a:ea typeface="+mn-ea"/>
              <a:cs typeface="+mn-cs"/>
            </a:rPr>
            <a:t>ell-to-wheel (WtW). This</a:t>
          </a:r>
          <a:r>
            <a:rPr lang="en-US" sz="1100" baseline="0">
              <a:solidFill>
                <a:schemeClr val="dk1"/>
              </a:solidFill>
              <a:effectLst/>
              <a:latin typeface="+mn-lt"/>
              <a:ea typeface="+mn-ea"/>
              <a:cs typeface="+mn-cs"/>
            </a:rPr>
            <a:t> includes w</a:t>
          </a:r>
          <a:r>
            <a:rPr lang="en-US" sz="1100" b="0" i="0">
              <a:solidFill>
                <a:schemeClr val="dk1"/>
              </a:solidFill>
              <a:effectLst/>
              <a:latin typeface="+mn-lt"/>
              <a:ea typeface="+mn-ea"/>
              <a:cs typeface="+mn-cs"/>
            </a:rPr>
            <a:t>ell-to-tank (WtT) emissions resulting from fuel</a:t>
          </a:r>
          <a:r>
            <a:rPr lang="en-US" sz="1100" b="0" i="0" baseline="0">
              <a:solidFill>
                <a:schemeClr val="dk1"/>
              </a:solidFill>
              <a:effectLst/>
              <a:latin typeface="+mn-lt"/>
              <a:ea typeface="+mn-ea"/>
              <a:cs typeface="+mn-cs"/>
            </a:rPr>
            <a:t> extraction, transportation, and refining up to the point of sale, as well as </a:t>
          </a:r>
          <a:r>
            <a:rPr lang="en-US" sz="1100" b="0" i="0">
              <a:solidFill>
                <a:schemeClr val="dk1"/>
              </a:solidFill>
              <a:effectLst/>
              <a:latin typeface="+mn-lt"/>
              <a:ea typeface="+mn-ea"/>
              <a:cs typeface="+mn-cs"/>
            </a:rPr>
            <a:t>tank-to-wheel (TtW) emissions resulting from</a:t>
          </a:r>
          <a:r>
            <a:rPr lang="en-US" sz="1100" b="0" i="0" baseline="0">
              <a:solidFill>
                <a:schemeClr val="dk1"/>
              </a:solidFill>
              <a:effectLst/>
              <a:latin typeface="+mn-lt"/>
              <a:ea typeface="+mn-ea"/>
              <a:cs typeface="+mn-cs"/>
            </a:rPr>
            <a:t> direct combustion of the fuels to facilitate the given transportation activities.</a:t>
          </a:r>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1" i="1" baseline="0">
            <a:solidFill>
              <a:srgbClr val="FF0000"/>
            </a:solidFill>
            <a:effectLst/>
            <a:latin typeface="+mn-lt"/>
            <a:ea typeface="+mn-ea"/>
            <a:cs typeface="+mn-cs"/>
          </a:endParaRPr>
        </a:p>
      </xdr:txBody>
    </xdr:sp>
    <xdr:clientData/>
  </xdr:twoCellAnchor>
  <xdr:oneCellAnchor>
    <xdr:from>
      <xdr:col>0</xdr:col>
      <xdr:colOff>163885</xdr:colOff>
      <xdr:row>23</xdr:row>
      <xdr:rowOff>156883</xdr:rowOff>
    </xdr:from>
    <xdr:ext cx="13832261" cy="1340504"/>
    <xdr:sp macro="" textlink="">
      <xdr:nvSpPr>
        <xdr:cNvPr id="3" name="TextBox 2">
          <a:extLst>
            <a:ext uri="{FF2B5EF4-FFF2-40B4-BE49-F238E27FC236}">
              <a16:creationId xmlns:a16="http://schemas.microsoft.com/office/drawing/2014/main" id="{D853A101-320F-4AAD-AEF9-856FEC613E3E}"/>
            </a:ext>
          </a:extLst>
        </xdr:cNvPr>
        <xdr:cNvSpPr txBox="1"/>
      </xdr:nvSpPr>
      <xdr:spPr>
        <a:xfrm>
          <a:off x="163885" y="4415118"/>
          <a:ext cx="13832261" cy="1340504"/>
        </a:xfrm>
        <a:prstGeom prst="rect">
          <a:avLst/>
        </a:prstGeom>
        <a:noFill/>
      </xdr:spPr>
      <xdr:txBody>
        <a:bodyPr vertOverflow="clip" horzOverflow="clip" wrap="square" lIns="0" tIns="0" rIns="0" bIns="0" rtlCol="0" anchor="t">
          <a:noAutofit/>
        </a:bodyPr>
        <a:lstStyle/>
        <a:p>
          <a:r>
            <a:rPr lang="en-US" sz="1400" b="1" i="0">
              <a:solidFill>
                <a:srgbClr val="FF0000"/>
              </a:solidFill>
              <a:effectLst/>
              <a:latin typeface="+mn-lt"/>
              <a:ea typeface="+mn-ea"/>
              <a:cs typeface="+mn-cs"/>
            </a:rPr>
            <a:t>Note:</a:t>
          </a:r>
        </a:p>
        <a:p>
          <a:endParaRPr lang="en-US" sz="800" b="1" i="0">
            <a:solidFill>
              <a:srgbClr val="FF0000"/>
            </a:solidFill>
            <a:effectLst/>
            <a:latin typeface="+mn-lt"/>
            <a:ea typeface="+mn-ea"/>
            <a:cs typeface="+mn-cs"/>
          </a:endParaRPr>
        </a:p>
        <a:p>
          <a:r>
            <a:rPr lang="en-US" sz="1400" b="1" i="0">
              <a:solidFill>
                <a:srgbClr val="FF0000"/>
              </a:solidFill>
              <a:effectLst/>
              <a:latin typeface="+mn-lt"/>
              <a:ea typeface="+mn-ea"/>
              <a:cs typeface="+mn-cs"/>
            </a:rPr>
            <a:t>This tab is for distance-based emissions</a:t>
          </a:r>
          <a:r>
            <a:rPr lang="en-US" sz="1400" b="1" i="0" baseline="0">
              <a:solidFill>
                <a:srgbClr val="FF0000"/>
              </a:solidFill>
              <a:effectLst/>
              <a:latin typeface="+mn-lt"/>
              <a:ea typeface="+mn-ea"/>
              <a:cs typeface="+mn-cs"/>
            </a:rPr>
            <a:t> estimates, as well as emissions from hotel night stays. If only total spend on business travel is available, see the "</a:t>
          </a:r>
          <a:r>
            <a:rPr lang="en-US" sz="1400" b="1" i="1" baseline="0">
              <a:solidFill>
                <a:srgbClr val="FF0000"/>
              </a:solidFill>
              <a:effectLst/>
              <a:latin typeface="+mn-lt"/>
              <a:ea typeface="+mn-ea"/>
              <a:cs typeface="+mn-cs"/>
            </a:rPr>
            <a:t>Cat 6 Business Trav. (spend)</a:t>
          </a:r>
          <a:r>
            <a:rPr lang="en-US" sz="1400" b="1" i="0" baseline="0">
              <a:solidFill>
                <a:srgbClr val="FF0000"/>
              </a:solidFill>
              <a:effectLst/>
              <a:latin typeface="+mn-lt"/>
              <a:ea typeface="+mn-ea"/>
              <a:cs typeface="+mn-cs"/>
            </a:rPr>
            <a:t>" tab where emissions can be quantified based on spend and transport mode.</a:t>
          </a:r>
          <a:endParaRPr lang="en-US" sz="1400" b="1" i="0">
            <a:solidFill>
              <a:srgbClr val="FF0000"/>
            </a:solidFill>
            <a:effectLst/>
          </a:endParaRPr>
        </a:p>
        <a:p>
          <a:endParaRPr lang="en-US" sz="800" b="1" i="0" baseline="0">
            <a:solidFill>
              <a:srgbClr val="FF0000"/>
            </a:solidFill>
            <a:effectLst/>
            <a:latin typeface="+mn-lt"/>
            <a:ea typeface="+mn-ea"/>
            <a:cs typeface="+mn-cs"/>
          </a:endParaRPr>
        </a:p>
        <a:p>
          <a:r>
            <a:rPr lang="en-US" sz="1400" b="1" i="0" baseline="0">
              <a:solidFill>
                <a:srgbClr val="FF0000"/>
              </a:solidFill>
              <a:effectLst/>
              <a:latin typeface="+mn-lt"/>
              <a:ea typeface="+mn-ea"/>
              <a:cs typeface="+mn-cs"/>
            </a:rPr>
            <a:t>If supplier-specific calculations have been made, or outside sources were used to determine category 6 emissions, please reference the darker blue "</a:t>
          </a:r>
          <a:r>
            <a:rPr lang="en-US" sz="1400" b="1" i="1" baseline="0">
              <a:solidFill>
                <a:srgbClr val="FF0000"/>
              </a:solidFill>
              <a:effectLst/>
              <a:latin typeface="+mn-lt"/>
              <a:ea typeface="+mn-ea"/>
              <a:cs typeface="+mn-cs"/>
            </a:rPr>
            <a:t>Custom Emissions Inputs - other</a:t>
          </a:r>
          <a:r>
            <a:rPr lang="en-US" sz="1400" b="1" i="0" baseline="0">
              <a:solidFill>
                <a:srgbClr val="FF0000"/>
              </a:solidFill>
              <a:effectLst/>
              <a:latin typeface="+mn-lt"/>
              <a:ea typeface="+mn-ea"/>
              <a:cs typeface="+mn-cs"/>
            </a:rPr>
            <a:t>" tab, which allows for user input of emissions factors and totals.</a:t>
          </a:r>
          <a:endParaRPr lang="en-US" sz="1400" b="1" i="0">
            <a:solidFill>
              <a:srgbClr val="FF0000"/>
            </a:solidFill>
            <a:effectLst/>
          </a:endParaRPr>
        </a:p>
        <a:p>
          <a:endParaRPr lang="en-US" sz="1100" b="1" i="0" baseline="0">
            <a:effectLst/>
            <a:latin typeface="+mn-lt"/>
            <a:ea typeface="+mn-ea"/>
            <a:cs typeface="+mn-cs"/>
          </a:endParaRPr>
        </a:p>
        <a:p>
          <a:endParaRPr lang="en-US" sz="1100" b="1" i="0" baseline="0">
            <a:effectLst/>
            <a:latin typeface="+mn-lt"/>
            <a:ea typeface="+mn-ea"/>
            <a:cs typeface="+mn-cs"/>
          </a:endParaRPr>
        </a:p>
        <a:p>
          <a:endParaRPr lang="en-US" sz="1400" b="1" i="0">
            <a:effectLst/>
          </a:endParaRPr>
        </a:p>
        <a:p>
          <a:pPr marL="228600" indent="-228600" algn="l">
            <a:lnSpc>
              <a:spcPct val="112000"/>
            </a:lnSpc>
            <a:spcBef>
              <a:spcPts val="1000"/>
            </a:spcBef>
            <a:buClr>
              <a:schemeClr val="tx2"/>
            </a:buClr>
            <a:buFont typeface="Arial" panose="020B0604020202020204" pitchFamily="34" charset="0"/>
            <a:buChar char="•"/>
          </a:pPr>
          <a:endParaRPr lang="en-US" sz="1100" b="1" i="0" dirty="0"/>
        </a:p>
      </xdr:txBody>
    </xdr:sp>
    <xdr:clientData/>
  </xdr:oneCellAnchor>
</xdr:wsDr>
</file>

<file path=xl/drawings/drawing22.xml><?xml version="1.0" encoding="utf-8"?>
<xdr:wsDr xmlns:xdr="http://schemas.openxmlformats.org/drawingml/2006/spreadsheetDrawing" xmlns:a="http://schemas.openxmlformats.org/drawingml/2006/main">
  <xdr:twoCellAnchor>
    <xdr:from>
      <xdr:col>0</xdr:col>
      <xdr:colOff>67181</xdr:colOff>
      <xdr:row>6</xdr:row>
      <xdr:rowOff>67180</xdr:rowOff>
    </xdr:from>
    <xdr:to>
      <xdr:col>6</xdr:col>
      <xdr:colOff>1857375</xdr:colOff>
      <xdr:row>14</xdr:row>
      <xdr:rowOff>178593</xdr:rowOff>
    </xdr:to>
    <xdr:sp macro="" textlink="">
      <xdr:nvSpPr>
        <xdr:cNvPr id="2" name="TextBox 1">
          <a:extLst>
            <a:ext uri="{FF2B5EF4-FFF2-40B4-BE49-F238E27FC236}">
              <a16:creationId xmlns:a16="http://schemas.microsoft.com/office/drawing/2014/main" id="{5A68D80E-95C2-45F4-9282-EB50308E9563}"/>
            </a:ext>
          </a:extLst>
        </xdr:cNvPr>
        <xdr:cNvSpPr txBox="1"/>
      </xdr:nvSpPr>
      <xdr:spPr>
        <a:xfrm>
          <a:off x="67181" y="1579274"/>
          <a:ext cx="12541538" cy="1730663"/>
        </a:xfrm>
        <a:prstGeom prst="rect">
          <a:avLst/>
        </a:prstGeom>
        <a:solidFill>
          <a:schemeClr val="lt1"/>
        </a:solidFill>
        <a:ln w="952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00B0F0"/>
              </a:solidFill>
            </a:rPr>
            <a:t>Category</a:t>
          </a:r>
          <a:r>
            <a:rPr lang="en-US" sz="1200" b="1" baseline="0">
              <a:solidFill>
                <a:srgbClr val="00B0F0"/>
              </a:solidFill>
            </a:rPr>
            <a:t> Description and Emissions Methodology</a:t>
          </a:r>
        </a:p>
        <a:p>
          <a:pPr marL="0" marR="0" lvl="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Employee Commuting: </a:t>
          </a:r>
          <a:r>
            <a:rPr lang="en-US" sz="1100" b="0" i="0" baseline="0">
              <a:solidFill>
                <a:schemeClr val="dk1"/>
              </a:solidFill>
              <a:effectLst/>
              <a:latin typeface="+mn-lt"/>
              <a:ea typeface="+mn-ea"/>
              <a:cs typeface="+mn-cs"/>
            </a:rPr>
            <a:t>Transportation of employees between their homes and their worksites during the reporting year (in vehicles not owned or operated by the reporting company), or working from home. The average-data method is employed here, with emissions based on state-by-state median commute distance and average commute mode percentage across "drove alone", "carpool", "worked at home", "public transportation", "taxi, motorcycle, other", "walked", and "bicycle" from Bureau of Transportation Statistics; user-defined number of weeks per year and  days per week.</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Tables 1 and 2 include emissions spanning the full life cycle of the fuels consumed in travel, or w</a:t>
          </a:r>
          <a:r>
            <a:rPr lang="en-US" sz="1100" b="0" i="0">
              <a:solidFill>
                <a:schemeClr val="dk1"/>
              </a:solidFill>
              <a:effectLst/>
              <a:latin typeface="+mn-lt"/>
              <a:ea typeface="+mn-ea"/>
              <a:cs typeface="+mn-cs"/>
            </a:rPr>
            <a:t>ell-to-wheel (WtW). This</a:t>
          </a:r>
          <a:r>
            <a:rPr lang="en-US" sz="1100" baseline="0">
              <a:solidFill>
                <a:schemeClr val="dk1"/>
              </a:solidFill>
              <a:effectLst/>
              <a:latin typeface="+mn-lt"/>
              <a:ea typeface="+mn-ea"/>
              <a:cs typeface="+mn-cs"/>
            </a:rPr>
            <a:t> includes w</a:t>
          </a:r>
          <a:r>
            <a:rPr lang="en-US" sz="1100" b="0" i="0">
              <a:solidFill>
                <a:schemeClr val="dk1"/>
              </a:solidFill>
              <a:effectLst/>
              <a:latin typeface="+mn-lt"/>
              <a:ea typeface="+mn-ea"/>
              <a:cs typeface="+mn-cs"/>
            </a:rPr>
            <a:t>ell-to-tank (WtT) emissions resulting from fuel</a:t>
          </a:r>
          <a:r>
            <a:rPr lang="en-US" sz="1100" b="0" i="0" baseline="0">
              <a:solidFill>
                <a:schemeClr val="dk1"/>
              </a:solidFill>
              <a:effectLst/>
              <a:latin typeface="+mn-lt"/>
              <a:ea typeface="+mn-ea"/>
              <a:cs typeface="+mn-cs"/>
            </a:rPr>
            <a:t> extraction, transportation, and refining up to the point of sale, as well as </a:t>
          </a:r>
          <a:r>
            <a:rPr lang="en-US" sz="1100" b="0" i="0">
              <a:solidFill>
                <a:schemeClr val="dk1"/>
              </a:solidFill>
              <a:effectLst/>
              <a:latin typeface="+mn-lt"/>
              <a:ea typeface="+mn-ea"/>
              <a:cs typeface="+mn-cs"/>
            </a:rPr>
            <a:t>tank-to-wheel (TtW) emissions resulting from</a:t>
          </a:r>
          <a:r>
            <a:rPr lang="en-US" sz="1100" b="0" i="0" baseline="0">
              <a:solidFill>
                <a:schemeClr val="dk1"/>
              </a:solidFill>
              <a:effectLst/>
              <a:latin typeface="+mn-lt"/>
              <a:ea typeface="+mn-ea"/>
              <a:cs typeface="+mn-cs"/>
            </a:rPr>
            <a:t> direct combustion of the fuels to facilitate the given transportation activities.</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0"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i="1" baseline="0">
              <a:solidFill>
                <a:srgbClr val="FF0000"/>
              </a:solidFill>
              <a:effectLst/>
              <a:latin typeface="+mn-lt"/>
              <a:ea typeface="+mn-ea"/>
              <a:cs typeface="+mn-cs"/>
            </a:rPr>
            <a:t>Note, if emissions calculations have been conducted outside of this tool, based on the "distance-based" or "fuel-based" methods, users can input emissions totals here, where indicated below in red. </a:t>
          </a:r>
          <a:endParaRPr lang="en-US">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67327</xdr:colOff>
      <xdr:row>8</xdr:row>
      <xdr:rowOff>107029</xdr:rowOff>
    </xdr:from>
    <xdr:to>
      <xdr:col>8</xdr:col>
      <xdr:colOff>11206</xdr:colOff>
      <xdr:row>21</xdr:row>
      <xdr:rowOff>33618</xdr:rowOff>
    </xdr:to>
    <xdr:sp macro="" textlink="">
      <xdr:nvSpPr>
        <xdr:cNvPr id="2" name="TextBox 1">
          <a:extLst>
            <a:ext uri="{FF2B5EF4-FFF2-40B4-BE49-F238E27FC236}">
              <a16:creationId xmlns:a16="http://schemas.microsoft.com/office/drawing/2014/main" id="{740193FA-2691-4FD3-ABA7-0EC4783601DF}"/>
            </a:ext>
          </a:extLst>
        </xdr:cNvPr>
        <xdr:cNvSpPr txBox="1"/>
      </xdr:nvSpPr>
      <xdr:spPr>
        <a:xfrm>
          <a:off x="67327" y="1653441"/>
          <a:ext cx="11631614" cy="2761677"/>
        </a:xfrm>
        <a:prstGeom prst="rect">
          <a:avLst/>
        </a:prstGeom>
        <a:solidFill>
          <a:schemeClr val="lt1"/>
        </a:solidFill>
        <a:ln w="952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00B0F0"/>
              </a:solidFill>
            </a:rPr>
            <a:t>Category</a:t>
          </a:r>
          <a:r>
            <a:rPr lang="en-US" sz="1200" b="1" baseline="0">
              <a:solidFill>
                <a:srgbClr val="00B0F0"/>
              </a:solidFill>
            </a:rPr>
            <a:t> Description and Emissions Methodology</a:t>
          </a:r>
        </a:p>
        <a:p>
          <a:r>
            <a:rPr lang="en-US" sz="1100" b="1" baseline="0"/>
            <a:t>Upstream Leased Assets:</a:t>
          </a:r>
          <a:r>
            <a:rPr lang="en-US" sz="1100" baseline="0"/>
            <a:t> </a:t>
          </a:r>
          <a:r>
            <a:rPr lang="en-US" sz="1100" b="0" i="0" u="none" strike="noStrike" baseline="0">
              <a:solidFill>
                <a:schemeClr val="dk1"/>
              </a:solidFill>
              <a:latin typeface="+mn-lt"/>
              <a:ea typeface="+mn-ea"/>
              <a:cs typeface="+mn-cs"/>
            </a:rPr>
            <a:t>Operation of </a:t>
          </a:r>
          <a:r>
            <a:rPr lang="en-US" sz="1100" b="1" i="1" u="none" strike="noStrike" baseline="0">
              <a:solidFill>
                <a:schemeClr val="dk1"/>
              </a:solidFill>
              <a:latin typeface="+mn-lt"/>
              <a:ea typeface="+mn-ea"/>
              <a:cs typeface="+mn-cs"/>
            </a:rPr>
            <a:t>assets leased by the reporting company (lessee) </a:t>
          </a:r>
          <a:r>
            <a:rPr lang="en-US" sz="1100" b="0" i="0" u="none" strike="noStrike" baseline="0">
              <a:solidFill>
                <a:schemeClr val="dk1"/>
              </a:solidFill>
              <a:latin typeface="+mn-lt"/>
              <a:ea typeface="+mn-ea"/>
              <a:cs typeface="+mn-cs"/>
            </a:rPr>
            <a:t>in the reporting year and not included in scope 1 and scope 2 – reported by lessee</a:t>
          </a:r>
        </a:p>
        <a:p>
          <a:r>
            <a:rPr lang="en-US" sz="1100" b="1" baseline="0">
              <a:solidFill>
                <a:schemeClr val="dk1"/>
              </a:solidFill>
              <a:effectLst/>
              <a:latin typeface="+mn-lt"/>
              <a:ea typeface="+mn-ea"/>
              <a:cs typeface="+mn-cs"/>
            </a:rPr>
            <a:t>Downstream Leased Assets:</a:t>
          </a:r>
          <a:r>
            <a:rPr lang="en-US" sz="1100" baseline="0">
              <a:solidFill>
                <a:schemeClr val="dk1"/>
              </a:solidFill>
              <a:effectLst/>
              <a:latin typeface="+mn-lt"/>
              <a:ea typeface="+mn-ea"/>
              <a:cs typeface="+mn-cs"/>
            </a:rPr>
            <a:t> </a:t>
          </a:r>
          <a:r>
            <a:rPr lang="en-US" sz="1100" b="0" i="0" u="none" strike="noStrike" baseline="0">
              <a:solidFill>
                <a:schemeClr val="dk1"/>
              </a:solidFill>
              <a:latin typeface="+mn-lt"/>
              <a:ea typeface="+mn-ea"/>
              <a:cs typeface="+mn-cs"/>
            </a:rPr>
            <a:t>Operation of </a:t>
          </a:r>
          <a:r>
            <a:rPr lang="en-US" sz="1100" b="1" i="1" u="none" strike="noStrike" baseline="0">
              <a:solidFill>
                <a:schemeClr val="dk1"/>
              </a:solidFill>
              <a:latin typeface="+mn-lt"/>
              <a:ea typeface="+mn-ea"/>
              <a:cs typeface="+mn-cs"/>
            </a:rPr>
            <a:t>assets owned by the reporting company (lessor) </a:t>
          </a:r>
          <a:r>
            <a:rPr lang="en-US" sz="1100" b="0" i="0" u="none" strike="noStrike" baseline="0">
              <a:solidFill>
                <a:schemeClr val="dk1"/>
              </a:solidFill>
              <a:latin typeface="+mn-lt"/>
              <a:ea typeface="+mn-ea"/>
              <a:cs typeface="+mn-cs"/>
            </a:rPr>
            <a:t>and leased to other entities in the reporting year, not included in scope 1 and scope 2 – reported by lessor</a:t>
          </a:r>
        </a:p>
        <a:p>
          <a:endParaRPr lang="en-US" sz="1050" b="0" i="0" u="none" strike="noStrike" baseline="0">
            <a:solidFill>
              <a:schemeClr val="dk1"/>
            </a:solidFill>
            <a:latin typeface="+mn-lt"/>
            <a:ea typeface="+mn-ea"/>
            <a:cs typeface="+mn-cs"/>
          </a:endParaRPr>
        </a:p>
        <a:p>
          <a:r>
            <a:rPr lang="en-US" sz="1100" b="0" i="0" u="none" strike="noStrike" baseline="0">
              <a:solidFill>
                <a:schemeClr val="dk1"/>
              </a:solidFill>
              <a:effectLst/>
              <a:latin typeface="+mn-lt"/>
              <a:ea typeface="+mn-ea"/>
              <a:cs typeface="+mn-cs"/>
            </a:rPr>
            <a:t>The organization's "organizational boundary" should be carefully reviewed to understand if any upstream/downstream leased assets are already accounted for in a scope 1 &amp; 2 inventory. Emissions in the belows directly below are estimated for upstream and downstream leased assets using the "average-data method" and based on national (U.S.) energy consumption per square feet, for building types specific to the healthcare industry [source: </a:t>
          </a:r>
          <a:r>
            <a:rPr lang="en-US"/>
            <a:t>Commercial Buildings Energy Consumption Surveys (CBECS)] and national average electricity emission factors (US</a:t>
          </a:r>
          <a:r>
            <a:rPr lang="en-US" baseline="0"/>
            <a:t> EPA Center for Corporate Climate Leadership).</a:t>
          </a:r>
        </a:p>
        <a:p>
          <a:endParaRPr lang="en-US" sz="1100" b="0" i="0" u="none" strike="noStrike"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The tables in this tab include emissions spanning the full life cycle of the fuels combusted to generate electricity and natural gas to generate heat, as well as transmission and distribution (T&amp;D) losses from electricity usage. Life cycle emissions include what are known as w</a:t>
          </a:r>
          <a:r>
            <a:rPr lang="en-US" sz="1100" b="0" i="0">
              <a:solidFill>
                <a:schemeClr val="dk1"/>
              </a:solidFill>
              <a:effectLst/>
              <a:latin typeface="+mn-lt"/>
              <a:ea typeface="+mn-ea"/>
              <a:cs typeface="+mn-cs"/>
            </a:rPr>
            <a:t>ell-to-tank (WtT) emissions resulting from fuel</a:t>
          </a:r>
          <a:r>
            <a:rPr lang="en-US" sz="1100" b="0" i="0" baseline="0">
              <a:solidFill>
                <a:schemeClr val="dk1"/>
              </a:solidFill>
              <a:effectLst/>
              <a:latin typeface="+mn-lt"/>
              <a:ea typeface="+mn-ea"/>
              <a:cs typeface="+mn-cs"/>
            </a:rPr>
            <a:t> extraction, transportation, and refining up to the point of sale (in this case, to the electic power plant for electricity generation or to the building for on-site natural gas combustion).</a:t>
          </a:r>
          <a:endParaRPr lang="en-US">
            <a:effectLst/>
          </a:endParaRPr>
        </a:p>
        <a:p>
          <a:endParaRPr lang="en-US" b="1" i="1">
            <a:solidFill>
              <a:srgbClr val="FF0000"/>
            </a:solidFill>
            <a:effectLst/>
          </a:endParaRPr>
        </a:p>
        <a:p>
          <a:r>
            <a:rPr lang="en-US" b="1" i="1">
              <a:solidFill>
                <a:srgbClr val="FF0000"/>
              </a:solidFill>
              <a:effectLst/>
            </a:rPr>
            <a:t>Note: If only square footage of facilities is known, use tables below. If annual electricity and natural gas </a:t>
          </a:r>
          <a:r>
            <a:rPr lang="en-US" b="1" i="1" baseline="0">
              <a:solidFill>
                <a:srgbClr val="FF0000"/>
              </a:solidFill>
              <a:effectLst/>
            </a:rPr>
            <a:t>utility usage data is available, use tables begining in column K. </a:t>
          </a:r>
          <a:br>
            <a:rPr lang="en-US" b="1" i="1" baseline="0">
              <a:solidFill>
                <a:srgbClr val="FF0000"/>
              </a:solidFill>
              <a:effectLst/>
            </a:rPr>
          </a:br>
          <a:r>
            <a:rPr lang="en-US" b="1" i="1" baseline="0">
              <a:solidFill>
                <a:srgbClr val="FF0000"/>
              </a:solidFill>
              <a:effectLst/>
            </a:rPr>
            <a:t>If only some leased assets have known utility usage, data can be input on both sides, to calculate based on both known and unknown energy usage.</a:t>
          </a:r>
          <a:endParaRPr lang="en-US" b="1" i="1">
            <a:solidFill>
              <a:srgbClr val="FF0000"/>
            </a:solidFill>
            <a:effectLst/>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65275</xdr:colOff>
      <xdr:row>7</xdr:row>
      <xdr:rowOff>65273</xdr:rowOff>
    </xdr:from>
    <xdr:to>
      <xdr:col>6</xdr:col>
      <xdr:colOff>11206</xdr:colOff>
      <xdr:row>18</xdr:row>
      <xdr:rowOff>156883</xdr:rowOff>
    </xdr:to>
    <xdr:sp macro="" textlink="">
      <xdr:nvSpPr>
        <xdr:cNvPr id="2" name="TextBox 1">
          <a:extLst>
            <a:ext uri="{FF2B5EF4-FFF2-40B4-BE49-F238E27FC236}">
              <a16:creationId xmlns:a16="http://schemas.microsoft.com/office/drawing/2014/main" id="{91D8F999-EC5A-4BD1-9DE3-B24A4AC812C3}"/>
            </a:ext>
          </a:extLst>
        </xdr:cNvPr>
        <xdr:cNvSpPr txBox="1"/>
      </xdr:nvSpPr>
      <xdr:spPr>
        <a:xfrm>
          <a:off x="65275" y="1600479"/>
          <a:ext cx="9370078" cy="2612933"/>
        </a:xfrm>
        <a:prstGeom prst="rect">
          <a:avLst/>
        </a:prstGeom>
        <a:solidFill>
          <a:schemeClr val="lt1"/>
        </a:solidFill>
        <a:ln w="952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00B0F0"/>
              </a:solidFill>
            </a:rPr>
            <a:t>Category</a:t>
          </a:r>
          <a:r>
            <a:rPr lang="en-US" sz="1200" b="1" baseline="0">
              <a:solidFill>
                <a:srgbClr val="00B0F0"/>
              </a:solidFill>
            </a:rPr>
            <a:t> Description and Emissions Methodology</a:t>
          </a:r>
        </a:p>
        <a:p>
          <a:pPr marL="0" marR="0" lvl="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Downstream Transportation &amp; Distribution:</a:t>
          </a:r>
          <a:r>
            <a:rPr lang="en-US" sz="110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Downstream transportation and distribution of sold goods and services in vehicles and facilities not owned or controlled by the reporting company. For the healthcare industry, this category primarily pertains to inpatient and outpatient visits. For in-person inpatient and outpatient visits (Tables 1 and 2), the average-data method is employed here, with emissions based on state-by-state median round-trip commute distance and average of distance-based emission factors for </a:t>
          </a:r>
          <a:r>
            <a:rPr lang="en-US" sz="1100" b="0" i="1" baseline="0">
              <a:solidFill>
                <a:schemeClr val="dk1"/>
              </a:solidFill>
              <a:effectLst/>
              <a:latin typeface="+mn-lt"/>
              <a:ea typeface="+mn-ea"/>
              <a:cs typeface="+mn-cs"/>
            </a:rPr>
            <a:t>average car </a:t>
          </a:r>
          <a:r>
            <a:rPr lang="en-US" sz="1100" b="0" i="0" baseline="0">
              <a:solidFill>
                <a:schemeClr val="dk1"/>
              </a:solidFill>
              <a:effectLst/>
              <a:latin typeface="+mn-lt"/>
              <a:ea typeface="+mn-ea"/>
              <a:cs typeface="+mn-cs"/>
            </a:rPr>
            <a:t>and </a:t>
          </a:r>
          <a:r>
            <a:rPr lang="en-US" sz="1100" b="0" i="1" baseline="0">
              <a:solidFill>
                <a:schemeClr val="dk1"/>
              </a:solidFill>
              <a:effectLst/>
              <a:latin typeface="+mn-lt"/>
              <a:ea typeface="+mn-ea"/>
              <a:cs typeface="+mn-cs"/>
            </a:rPr>
            <a:t>sport utility vehicle (SUV)</a:t>
          </a:r>
          <a:r>
            <a:rPr lang="en-US" sz="1100" b="0" i="0" baseline="0">
              <a:solidFill>
                <a:schemeClr val="dk1"/>
              </a:solidFill>
              <a:effectLst/>
              <a:latin typeface="+mn-lt"/>
              <a:ea typeface="+mn-ea"/>
              <a:cs typeface="+mn-cs"/>
            </a:rPr>
            <a:t>. For telehealth (Table 3), emissions from electricity use are estimated based on an assumed 150 Watts (power for lighting and workstation) and the specified length of the telehealth session, along with state-specific electricity emissions factors.</a:t>
          </a:r>
        </a:p>
        <a:p>
          <a:pPr marL="0" marR="0" lvl="0" indent="0" defTabSz="914400" eaLnBrk="1" fontAlgn="auto" latinLnBrk="0" hangingPunct="1">
            <a:lnSpc>
              <a:spcPct val="100000"/>
            </a:lnSpc>
            <a:spcBef>
              <a:spcPts val="0"/>
            </a:spcBef>
            <a:spcAft>
              <a:spcPts val="0"/>
            </a:spcAft>
            <a:buClrTx/>
            <a:buSzTx/>
            <a:buFontTx/>
            <a:buNone/>
            <a:tabLst/>
            <a:defRPr/>
          </a:pPr>
          <a:endParaRPr lang="en-US" sz="1050" b="0" i="0" baseline="0">
            <a:solidFill>
              <a:schemeClr val="dk1"/>
            </a:solidFill>
            <a:effectLst/>
            <a:latin typeface="+mn-lt"/>
            <a:ea typeface="+mn-ea"/>
            <a:cs typeface="+mn-cs"/>
          </a:endParaRPr>
        </a:p>
        <a:p>
          <a:pPr eaLnBrk="1" fontAlgn="auto" latinLnBrk="0" hangingPunct="1"/>
          <a:r>
            <a:rPr lang="en-US" sz="1100" baseline="0">
              <a:solidFill>
                <a:schemeClr val="dk1"/>
              </a:solidFill>
              <a:effectLst/>
              <a:latin typeface="+mn-lt"/>
              <a:ea typeface="+mn-ea"/>
              <a:cs typeface="+mn-cs"/>
            </a:rPr>
            <a:t>All tables include emissions spanning the full life cycle of the fuels consumed in travel, or w</a:t>
          </a:r>
          <a:r>
            <a:rPr lang="en-US" sz="1100" b="0" i="0">
              <a:solidFill>
                <a:schemeClr val="dk1"/>
              </a:solidFill>
              <a:effectLst/>
              <a:latin typeface="+mn-lt"/>
              <a:ea typeface="+mn-ea"/>
              <a:cs typeface="+mn-cs"/>
            </a:rPr>
            <a:t>ell-to-wheel (WtW). This</a:t>
          </a:r>
          <a:r>
            <a:rPr lang="en-US" sz="1100" baseline="0">
              <a:solidFill>
                <a:schemeClr val="dk1"/>
              </a:solidFill>
              <a:effectLst/>
              <a:latin typeface="+mn-lt"/>
              <a:ea typeface="+mn-ea"/>
              <a:cs typeface="+mn-cs"/>
            </a:rPr>
            <a:t> includes w</a:t>
          </a:r>
          <a:r>
            <a:rPr lang="en-US" sz="1100" b="0" i="0">
              <a:solidFill>
                <a:schemeClr val="dk1"/>
              </a:solidFill>
              <a:effectLst/>
              <a:latin typeface="+mn-lt"/>
              <a:ea typeface="+mn-ea"/>
              <a:cs typeface="+mn-cs"/>
            </a:rPr>
            <a:t>ell-to-tank (WtT) emissions resulting from fuel</a:t>
          </a:r>
          <a:r>
            <a:rPr lang="en-US" sz="1100" b="0" i="0" baseline="0">
              <a:solidFill>
                <a:schemeClr val="dk1"/>
              </a:solidFill>
              <a:effectLst/>
              <a:latin typeface="+mn-lt"/>
              <a:ea typeface="+mn-ea"/>
              <a:cs typeface="+mn-cs"/>
            </a:rPr>
            <a:t> extraction, transportation, and refining up to the point of sale, as well as </a:t>
          </a:r>
          <a:r>
            <a:rPr lang="en-US" sz="1100" b="0" i="0">
              <a:solidFill>
                <a:schemeClr val="dk1"/>
              </a:solidFill>
              <a:effectLst/>
              <a:latin typeface="+mn-lt"/>
              <a:ea typeface="+mn-ea"/>
              <a:cs typeface="+mn-cs"/>
            </a:rPr>
            <a:t>tank-to-wheel (TtW) emissions resulting from</a:t>
          </a:r>
          <a:r>
            <a:rPr lang="en-US" sz="1100" b="0" i="0" baseline="0">
              <a:solidFill>
                <a:schemeClr val="dk1"/>
              </a:solidFill>
              <a:effectLst/>
              <a:latin typeface="+mn-lt"/>
              <a:ea typeface="+mn-ea"/>
              <a:cs typeface="+mn-cs"/>
            </a:rPr>
            <a:t> direct combustion of the fuels to facilitate the given transportation activities.</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050" b="0"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i="0" baseline="0">
              <a:solidFill>
                <a:srgbClr val="FF0000"/>
              </a:solidFill>
              <a:effectLst/>
              <a:latin typeface="+mn-lt"/>
              <a:ea typeface="+mn-ea"/>
              <a:cs typeface="+mn-cs"/>
            </a:rPr>
            <a:t>Note: Table 1 assumes patients are driving an average car or SUV. For ambulance and air transport to an inpatient facility, supplier-specific emissions data or total spend on such services can be entered in the darker blue "</a:t>
          </a:r>
          <a:r>
            <a:rPr lang="en-US" sz="1100" b="1" i="1" baseline="0">
              <a:solidFill>
                <a:srgbClr val="FF0000"/>
              </a:solidFill>
              <a:effectLst/>
              <a:latin typeface="+mn-lt"/>
              <a:ea typeface="+mn-ea"/>
              <a:cs typeface="+mn-cs"/>
            </a:rPr>
            <a:t>Custom Emissions Inputs - other</a:t>
          </a:r>
          <a:r>
            <a:rPr lang="en-US" sz="1100" b="1" i="0" baseline="0">
              <a:solidFill>
                <a:srgbClr val="FF0000"/>
              </a:solidFill>
              <a:effectLst/>
              <a:latin typeface="+mn-lt"/>
              <a:ea typeface="+mn-ea"/>
              <a:cs typeface="+mn-cs"/>
            </a:rPr>
            <a:t>" tab.</a:t>
          </a:r>
          <a:endParaRPr lang="en-US">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i="1" baseline="0">
              <a:solidFill>
                <a:srgbClr val="FF0000"/>
              </a:solidFill>
              <a:effectLst/>
              <a:latin typeface="+mn-lt"/>
              <a:ea typeface="+mn-ea"/>
              <a:cs typeface="+mn-cs"/>
            </a:rPr>
            <a:t>If emissions calculations have been conducted outside of this tool, users can input totals here in cells E46, E74, and F98.</a:t>
          </a:r>
          <a:endParaRPr lang="en-US">
            <a:effectLst/>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128322</xdr:colOff>
      <xdr:row>8</xdr:row>
      <xdr:rowOff>51592</xdr:rowOff>
    </xdr:from>
    <xdr:to>
      <xdr:col>6</xdr:col>
      <xdr:colOff>11206</xdr:colOff>
      <xdr:row>15</xdr:row>
      <xdr:rowOff>74084</xdr:rowOff>
    </xdr:to>
    <xdr:sp macro="" textlink="">
      <xdr:nvSpPr>
        <xdr:cNvPr id="2" name="TextBox 1">
          <a:extLst>
            <a:ext uri="{FF2B5EF4-FFF2-40B4-BE49-F238E27FC236}">
              <a16:creationId xmlns:a16="http://schemas.microsoft.com/office/drawing/2014/main" id="{CCCEFD63-95B0-442C-B282-61C489EF69D2}"/>
            </a:ext>
          </a:extLst>
        </xdr:cNvPr>
        <xdr:cNvSpPr txBox="1"/>
      </xdr:nvSpPr>
      <xdr:spPr>
        <a:xfrm>
          <a:off x="128322" y="1676445"/>
          <a:ext cx="12063678" cy="1277551"/>
        </a:xfrm>
        <a:prstGeom prst="rect">
          <a:avLst/>
        </a:prstGeom>
        <a:solidFill>
          <a:schemeClr val="lt1"/>
        </a:solidFill>
        <a:ln w="952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00B0F0"/>
              </a:solidFill>
            </a:rPr>
            <a:t>Category</a:t>
          </a:r>
          <a:r>
            <a:rPr lang="en-US" sz="1200" b="1" baseline="0">
              <a:solidFill>
                <a:srgbClr val="00B0F0"/>
              </a:solidFill>
            </a:rPr>
            <a:t> Description and Emissions Methodology</a:t>
          </a:r>
        </a:p>
        <a:p>
          <a:r>
            <a:rPr lang="en-US" sz="1100" b="1" baseline="0"/>
            <a:t>Use of Sold Products:</a:t>
          </a:r>
          <a:r>
            <a:rPr lang="en-US" sz="1100" baseline="0"/>
            <a:t> </a:t>
          </a:r>
          <a:r>
            <a:rPr lang="en-US" sz="1100" b="0" i="0" u="none" strike="noStrike" baseline="0">
              <a:solidFill>
                <a:schemeClr val="dk1"/>
              </a:solidFill>
              <a:latin typeface="+mn-lt"/>
              <a:ea typeface="+mn-ea"/>
              <a:cs typeface="+mn-cs"/>
            </a:rPr>
            <a:t>This category includes emissions from the use of goods and services sold by the reporting company in the reporting year. Reporting organizations that wish to be as comprehensive as possible in their Scope 3 accounting can optionally quantify emissions from all MDIs prescribed to patients, regardless of whether the MDIs were sold to patients by an in-house pharmacy (operated by the reporting organization) or a retail pharmacy (operated by another entity). A reporting company’s scope 3 emissions from use of sold products include the scope 1 and scope 2 emissions of end users. End users include both consumers and business customers that use final products. </a:t>
          </a:r>
          <a:r>
            <a:rPr lang="en-US" sz="1100" b="0" i="0" baseline="0">
              <a:solidFill>
                <a:schemeClr val="dk1"/>
              </a:solidFill>
              <a:effectLst/>
              <a:latin typeface="+mn-lt"/>
              <a:ea typeface="+mn-ea"/>
              <a:cs typeface="+mn-cs"/>
            </a:rPr>
            <a:t>Based on Engie Impact's evaluation of Healthcare System Scope 3 operations, the largest contributor to emissions in this category is likely from the use of inhalers and other products with refrigerant-based propellants [</a:t>
          </a:r>
          <a:r>
            <a:rPr lang="en-US" sz="1100" b="0" i="0" u="none" strike="noStrike" baseline="0">
              <a:solidFill>
                <a:schemeClr val="dk1"/>
              </a:solidFill>
              <a:latin typeface="+mn-lt"/>
              <a:ea typeface="+mn-ea"/>
              <a:cs typeface="+mn-cs"/>
            </a:rPr>
            <a:t>Hydrofluorocarbons (HFCs)]</a:t>
          </a:r>
          <a:r>
            <a:rPr lang="en-US" sz="1100" b="0" i="0" baseline="0">
              <a:solidFill>
                <a:schemeClr val="dk1"/>
              </a:solidFill>
              <a:effectLst/>
              <a:latin typeface="+mn-lt"/>
              <a:ea typeface="+mn-ea"/>
              <a:cs typeface="+mn-cs"/>
            </a:rPr>
            <a:t>. This calculation tool can track emissions from the t</a:t>
          </a:r>
          <a:r>
            <a:rPr lang="en-US"/>
            <a:t>wo main types of metered dose inhaler (MDI) propellants,</a:t>
          </a:r>
          <a:r>
            <a:rPr lang="en-US" baseline="0"/>
            <a:t> HFC-227ea and HFC-134a.</a:t>
          </a:r>
          <a:endParaRPr lang="en-US">
            <a:effectLst/>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41089</xdr:colOff>
      <xdr:row>9</xdr:row>
      <xdr:rowOff>27698</xdr:rowOff>
    </xdr:from>
    <xdr:to>
      <xdr:col>10</xdr:col>
      <xdr:colOff>19050</xdr:colOff>
      <xdr:row>15</xdr:row>
      <xdr:rowOff>19050</xdr:rowOff>
    </xdr:to>
    <xdr:sp macro="" textlink="">
      <xdr:nvSpPr>
        <xdr:cNvPr id="2" name="TextBox 1">
          <a:extLst>
            <a:ext uri="{FF2B5EF4-FFF2-40B4-BE49-F238E27FC236}">
              <a16:creationId xmlns:a16="http://schemas.microsoft.com/office/drawing/2014/main" id="{8BF5D5B7-6CB8-4782-AC61-6DC4BA0A645C}"/>
            </a:ext>
          </a:extLst>
        </xdr:cNvPr>
        <xdr:cNvSpPr txBox="1"/>
      </xdr:nvSpPr>
      <xdr:spPr>
        <a:xfrm>
          <a:off x="41089" y="1837448"/>
          <a:ext cx="16665761" cy="1134352"/>
        </a:xfrm>
        <a:prstGeom prst="rect">
          <a:avLst/>
        </a:prstGeom>
        <a:solidFill>
          <a:schemeClr val="lt1"/>
        </a:solidFill>
        <a:ln w="952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00B0F0"/>
              </a:solidFill>
            </a:rPr>
            <a:t>Category</a:t>
          </a:r>
          <a:r>
            <a:rPr lang="en-US" sz="1200" b="1" baseline="0">
              <a:solidFill>
                <a:srgbClr val="00B0F0"/>
              </a:solidFill>
            </a:rPr>
            <a:t> Description and Emissions Methodology</a:t>
          </a:r>
        </a:p>
        <a:p>
          <a:r>
            <a:rPr lang="en-US" sz="1100" b="1" baseline="0"/>
            <a:t>Investments:</a:t>
          </a:r>
          <a:r>
            <a:rPr lang="en-US" sz="1100" b="0" baseline="0"/>
            <a:t> This category includes emissions </a:t>
          </a:r>
          <a:r>
            <a:rPr lang="en-US" sz="1100" b="0" i="0" u="none" strike="noStrike" baseline="0">
              <a:solidFill>
                <a:schemeClr val="dk1"/>
              </a:solidFill>
              <a:latin typeface="+mn-lt"/>
              <a:ea typeface="+mn-ea"/>
              <a:cs typeface="+mn-cs"/>
            </a:rPr>
            <a:t>from equity investments, which should be allocated to the investor based on the investor’s proportional share of equity in the investee. In the absence of direct emissions data from each investee, the "average-data method" can be used as presented here. It is recommended that users engage with their investment manager to obtain the necessary data. Investments from defined benefits (e.g., pension plans) should be estimated and reported in Category 15. </a:t>
          </a:r>
        </a:p>
        <a:p>
          <a:endParaRPr lang="en-US" sz="1100" b="0" i="0" u="none" strike="noStrike" baseline="0">
            <a:solidFill>
              <a:schemeClr val="dk1"/>
            </a:solidFill>
            <a:effectLst/>
            <a:latin typeface="+mn-lt"/>
            <a:ea typeface="+mn-ea"/>
            <a:cs typeface="+mn-cs"/>
          </a:endParaRPr>
        </a:p>
        <a:p>
          <a:r>
            <a:rPr lang="en-US" sz="1100" b="1" i="1" baseline="0">
              <a:solidFill>
                <a:srgbClr val="FF0000"/>
              </a:solidFill>
              <a:effectLst/>
              <a:latin typeface="+mn-lt"/>
              <a:ea typeface="+mn-ea"/>
              <a:cs typeface="+mn-cs"/>
            </a:rPr>
            <a:t>If supplier-specific calculations have been made (e.g., "investment-specific method"), or outside sources were used to determine category 15 emissions, please reference the darker blue "Custom Emissions Inputs - other" tab, which allows for user input of emissions factors and totals. The "investment-specific method" is based on </a:t>
          </a:r>
          <a:r>
            <a:rPr lang="el-GR" sz="1100" b="1" i="1" baseline="0">
              <a:solidFill>
                <a:srgbClr val="FF0000"/>
              </a:solidFill>
              <a:effectLst/>
              <a:latin typeface="+mn-lt"/>
              <a:ea typeface="+mn-ea"/>
              <a:cs typeface="+mn-cs"/>
            </a:rPr>
            <a:t>Σ (</a:t>
          </a:r>
          <a:r>
            <a:rPr lang="en-US" sz="1100" b="1" i="1" baseline="0">
              <a:solidFill>
                <a:srgbClr val="FF0000"/>
              </a:solidFill>
              <a:effectLst/>
              <a:latin typeface="+mn-lt"/>
              <a:ea typeface="+mn-ea"/>
              <a:cs typeface="+mn-cs"/>
            </a:rPr>
            <a:t>emissions of equity investment [Scope 1, 2 and 3] × share of equity (%)). </a:t>
          </a:r>
          <a:endParaRPr lang="en-US" b="1" i="1">
            <a:solidFill>
              <a:srgbClr val="FF0000"/>
            </a:solidFill>
            <a:effectLst/>
          </a:endParaRPr>
        </a:p>
      </xdr:txBody>
    </xdr:sp>
    <xdr:clientData/>
  </xdr:twoCellAnchor>
</xdr:wsDr>
</file>

<file path=xl/drawings/drawing27.xml><?xml version="1.0" encoding="utf-8"?>
<xdr:wsDr xmlns:xdr="http://schemas.openxmlformats.org/drawingml/2006/spreadsheetDrawing" xmlns:a="http://schemas.openxmlformats.org/drawingml/2006/main">
  <xdr:oneCellAnchor>
    <xdr:from>
      <xdr:col>2</xdr:col>
      <xdr:colOff>146049</xdr:colOff>
      <xdr:row>60</xdr:row>
      <xdr:rowOff>38101</xdr:rowOff>
    </xdr:from>
    <xdr:ext cx="9007475" cy="1695450"/>
    <xdr:sp macro="" textlink="">
      <xdr:nvSpPr>
        <xdr:cNvPr id="2" name="TextBox 1">
          <a:extLst>
            <a:ext uri="{FF2B5EF4-FFF2-40B4-BE49-F238E27FC236}">
              <a16:creationId xmlns:a16="http://schemas.microsoft.com/office/drawing/2014/main" id="{C8C9649C-C7EB-4F5A-8C92-953E59826513}"/>
            </a:ext>
          </a:extLst>
        </xdr:cNvPr>
        <xdr:cNvSpPr txBox="1"/>
      </xdr:nvSpPr>
      <xdr:spPr>
        <a:xfrm>
          <a:off x="1498599" y="9925051"/>
          <a:ext cx="9007475" cy="1695450"/>
        </a:xfrm>
        <a:prstGeom prst="rect">
          <a:avLst/>
        </a:prstGeom>
        <a:noFill/>
      </xdr:spPr>
      <xdr:txBody>
        <a:bodyPr vertOverflow="clip" horzOverflow="clip" wrap="square" lIns="0" tIns="0" rIns="0" bIns="0" rtlCol="0" anchor="t">
          <a:noAutofit/>
        </a:bodyPr>
        <a:lstStyle/>
        <a:p>
          <a:r>
            <a:rPr lang="en-US" sz="1100">
              <a:effectLst/>
              <a:latin typeface="+mn-lt"/>
              <a:ea typeface="+mn-ea"/>
              <a:cs typeface="+mn-cs"/>
            </a:rPr>
            <a:t>Emissions for non-CO</a:t>
          </a:r>
          <a:r>
            <a:rPr lang="en-US" sz="1100" baseline="-25000">
              <a:effectLst/>
              <a:latin typeface="+mn-lt"/>
              <a:ea typeface="+mn-ea"/>
              <a:cs typeface="+mn-cs"/>
            </a:rPr>
            <a:t>2</a:t>
          </a:r>
          <a:r>
            <a:rPr lang="en-US" sz="1100">
              <a:effectLst/>
              <a:latin typeface="+mn-lt"/>
              <a:ea typeface="+mn-ea"/>
              <a:cs typeface="+mn-cs"/>
            </a:rPr>
            <a:t> greenhouse gases (e.g., methane</a:t>
          </a:r>
          <a:r>
            <a:rPr lang="en-US" sz="1100" baseline="0">
              <a:effectLst/>
              <a:latin typeface="+mn-lt"/>
              <a:ea typeface="+mn-ea"/>
              <a:cs typeface="+mn-cs"/>
            </a:rPr>
            <a:t> and nitrous oxide generated from combustion of fuels, and HFCs used as propellants in dispensed inhalers) are calculated using Global Warming Potential (GWP) values from the IPCC </a:t>
          </a:r>
          <a:r>
            <a:rPr lang="en-US" sz="1100" b="1" baseline="0">
              <a:effectLst/>
              <a:latin typeface="+mn-lt"/>
              <a:ea typeface="+mn-ea"/>
              <a:cs typeface="+mn-cs"/>
            </a:rPr>
            <a:t>Sixth Assessment Report </a:t>
          </a:r>
          <a:r>
            <a:rPr lang="en-US" sz="1100" baseline="0">
              <a:effectLst/>
              <a:latin typeface="+mn-lt"/>
              <a:ea typeface="+mn-ea"/>
              <a:cs typeface="+mn-cs"/>
            </a:rPr>
            <a:t>(2023). Some considerations related to GWP values p</a:t>
          </a:r>
          <a:r>
            <a:rPr lang="en-US" sz="1100">
              <a:effectLst/>
              <a:latin typeface="+mn-lt"/>
              <a:ea typeface="+mn-ea"/>
              <a:cs typeface="+mn-cs"/>
            </a:rPr>
            <a:t>er the GHG</a:t>
          </a:r>
          <a:r>
            <a:rPr lang="en-US" sz="1100" baseline="0">
              <a:effectLst/>
              <a:latin typeface="+mn-lt"/>
              <a:ea typeface="+mn-ea"/>
              <a:cs typeface="+mn-cs"/>
            </a:rPr>
            <a:t> Protocol include the following:</a:t>
          </a:r>
          <a:r>
            <a:rPr lang="en-US" sz="1100">
              <a:effectLst/>
              <a:latin typeface="+mn-lt"/>
              <a:ea typeface="+mn-ea"/>
              <a:cs typeface="+mn-cs"/>
            </a:rPr>
            <a:t>:</a:t>
          </a:r>
        </a:p>
        <a:p>
          <a:pPr lvl="0"/>
          <a:endParaRPr lang="en-US" sz="1100">
            <a:effectLst/>
            <a:latin typeface="+mn-lt"/>
            <a:ea typeface="+mn-ea"/>
            <a:cs typeface="+mn-cs"/>
          </a:endParaRPr>
        </a:p>
        <a:p>
          <a:pPr lvl="0"/>
          <a:r>
            <a:rPr lang="en-US" sz="1100">
              <a:effectLst/>
              <a:latin typeface="+mn-lt"/>
              <a:ea typeface="+mn-ea"/>
              <a:cs typeface="+mn-cs"/>
            </a:rPr>
            <a:t>-</a:t>
          </a:r>
          <a:r>
            <a:rPr lang="en-US" sz="1100" baseline="0">
              <a:effectLst/>
              <a:latin typeface="+mn-lt"/>
              <a:ea typeface="+mn-ea"/>
              <a:cs typeface="+mn-cs"/>
            </a:rPr>
            <a:t> </a:t>
          </a:r>
          <a:r>
            <a:rPr lang="en-US" sz="1100">
              <a:effectLst/>
              <a:latin typeface="+mn-lt"/>
              <a:ea typeface="+mn-ea"/>
              <a:cs typeface="+mn-cs"/>
            </a:rPr>
            <a:t>Use GWP values from the most recent Assessment Report, but may choose to use other IPCC Assessment Reports.</a:t>
          </a:r>
        </a:p>
        <a:p>
          <a:r>
            <a:rPr lang="en-US" sz="1100">
              <a:effectLst/>
              <a:latin typeface="+mn-lt"/>
              <a:ea typeface="+mn-ea"/>
              <a:cs typeface="+mn-cs"/>
            </a:rPr>
            <a:t> </a:t>
          </a:r>
        </a:p>
        <a:p>
          <a:pPr lvl="0"/>
          <a:r>
            <a:rPr lang="en-US" sz="1100">
              <a:effectLst/>
              <a:latin typeface="+mn-lt"/>
              <a:ea typeface="+mn-ea"/>
              <a:cs typeface="+mn-cs"/>
            </a:rPr>
            <a:t>-</a:t>
          </a:r>
          <a:r>
            <a:rPr lang="en-US" sz="1100" baseline="0">
              <a:effectLst/>
              <a:latin typeface="+mn-lt"/>
              <a:ea typeface="+mn-ea"/>
              <a:cs typeface="+mn-cs"/>
            </a:rPr>
            <a:t> </a:t>
          </a:r>
          <a:r>
            <a:rPr lang="en-US" sz="1100">
              <a:effectLst/>
              <a:latin typeface="+mn-lt"/>
              <a:ea typeface="+mn-ea"/>
              <a:cs typeface="+mn-cs"/>
            </a:rPr>
            <a:t>Use the same GWPs for the current inventory period and the base year, as well as for inventories prepared according to the Scope 3 Standard,         </a:t>
          </a:r>
          <a:br>
            <a:rPr lang="en-US" sz="1100">
              <a:effectLst/>
              <a:latin typeface="+mn-lt"/>
              <a:ea typeface="+mn-ea"/>
              <a:cs typeface="+mn-cs"/>
            </a:rPr>
          </a:br>
          <a:r>
            <a:rPr lang="en-US" sz="1100">
              <a:effectLst/>
              <a:latin typeface="+mn-lt"/>
              <a:ea typeface="+mn-ea"/>
              <a:cs typeface="+mn-cs"/>
            </a:rPr>
            <a:t>  to maintain consistency across time and scopes.</a:t>
          </a:r>
        </a:p>
        <a:p>
          <a:r>
            <a:rPr lang="en-US" sz="1100">
              <a:effectLst/>
              <a:latin typeface="+mn-lt"/>
              <a:ea typeface="+mn-ea"/>
              <a:cs typeface="+mn-cs"/>
            </a:rPr>
            <a:t> </a:t>
          </a:r>
        </a:p>
        <a:p>
          <a:r>
            <a:rPr lang="en-US" sz="1100" i="1">
              <a:effectLst/>
              <a:latin typeface="+mn-lt"/>
              <a:ea typeface="+mn-ea"/>
              <a:cs typeface="+mn-cs"/>
            </a:rPr>
            <a:t>Required Greenhouse Gases in Inventories, Accounting and Reporting Standard Amendment, Feb 2013:</a:t>
          </a: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5</xdr:col>
      <xdr:colOff>238125</xdr:colOff>
      <xdr:row>1</xdr:row>
      <xdr:rowOff>200025</xdr:rowOff>
    </xdr:from>
    <xdr:to>
      <xdr:col>9</xdr:col>
      <xdr:colOff>190500</xdr:colOff>
      <xdr:row>4</xdr:row>
      <xdr:rowOff>152400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E9B5B61C-2231-4445-BBA5-41BD024823BE}"/>
            </a:ext>
          </a:extLst>
        </xdr:cNvPr>
        <xdr:cNvSpPr/>
      </xdr:nvSpPr>
      <xdr:spPr>
        <a:xfrm>
          <a:off x="6143625" y="381000"/>
          <a:ext cx="2733675" cy="838200"/>
        </a:xfrm>
        <a:prstGeom prst="roundRect">
          <a:avLst/>
        </a:prstGeom>
        <a:ln>
          <a:solidFill>
            <a:schemeClr val="accent3">
              <a:lumMod val="50000"/>
            </a:schemeClr>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n-US" sz="2400" b="1" i="1">
              <a:solidFill>
                <a:sysClr val="windowText" lastClr="000000"/>
              </a:solidFill>
            </a:rPr>
            <a:t>Home</a:t>
          </a:r>
        </a:p>
        <a:p>
          <a:pPr algn="l"/>
          <a:endParaRPr lang="en-US" sz="1100">
            <a:solidFill>
              <a:sysClr val="windowText" lastClr="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1377950</xdr:colOff>
      <xdr:row>0</xdr:row>
      <xdr:rowOff>82109</xdr:rowOff>
    </xdr:from>
    <xdr:to>
      <xdr:col>1</xdr:col>
      <xdr:colOff>1316567</xdr:colOff>
      <xdr:row>0</xdr:row>
      <xdr:rowOff>1123162</xdr:rowOff>
    </xdr:to>
    <xdr:pic>
      <xdr:nvPicPr>
        <xdr:cNvPr id="2" name="Imagen 1">
          <a:extLst>
            <a:ext uri="{FF2B5EF4-FFF2-40B4-BE49-F238E27FC236}">
              <a16:creationId xmlns:a16="http://schemas.microsoft.com/office/drawing/2014/main" id="{42BCBC89-374B-4091-BC72-77AE2DC9C15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77950" y="82109"/>
          <a:ext cx="1576917" cy="1041053"/>
        </a:xfrm>
        <a:prstGeom prst="rect">
          <a:avLst/>
        </a:prstGeom>
      </xdr:spPr>
    </xdr:pic>
    <xdr:clientData/>
  </xdr:twoCellAnchor>
  <xdr:twoCellAnchor editAs="oneCell">
    <xdr:from>
      <xdr:col>0</xdr:col>
      <xdr:colOff>190500</xdr:colOff>
      <xdr:row>0</xdr:row>
      <xdr:rowOff>52916</xdr:rowOff>
    </xdr:from>
    <xdr:to>
      <xdr:col>0</xdr:col>
      <xdr:colOff>1245658</xdr:colOff>
      <xdr:row>0</xdr:row>
      <xdr:rowOff>1114424</xdr:rowOff>
    </xdr:to>
    <xdr:pic>
      <xdr:nvPicPr>
        <xdr:cNvPr id="3" name="Imagen 2">
          <a:extLst>
            <a:ext uri="{FF2B5EF4-FFF2-40B4-BE49-F238E27FC236}">
              <a16:creationId xmlns:a16="http://schemas.microsoft.com/office/drawing/2014/main" id="{EF60B8D7-03DF-436C-B77F-905EE338945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0500" y="52916"/>
          <a:ext cx="1055158" cy="1061508"/>
        </a:xfrm>
        <a:prstGeom prst="rect">
          <a:avLst/>
        </a:prstGeom>
      </xdr:spPr>
    </xdr:pic>
    <xdr:clientData/>
  </xdr:twoCellAnchor>
  <xdr:twoCellAnchor editAs="oneCell">
    <xdr:from>
      <xdr:col>1</xdr:col>
      <xdr:colOff>1518047</xdr:colOff>
      <xdr:row>0</xdr:row>
      <xdr:rowOff>228205</xdr:rowOff>
    </xdr:from>
    <xdr:to>
      <xdr:col>1</xdr:col>
      <xdr:colOff>2469053</xdr:colOff>
      <xdr:row>0</xdr:row>
      <xdr:rowOff>1041799</xdr:rowOff>
    </xdr:to>
    <xdr:pic>
      <xdr:nvPicPr>
        <xdr:cNvPr id="4" name="Picture 3">
          <a:extLst>
            <a:ext uri="{FF2B5EF4-FFF2-40B4-BE49-F238E27FC236}">
              <a16:creationId xmlns:a16="http://schemas.microsoft.com/office/drawing/2014/main" id="{251AF6D7-44CD-401D-A784-E64152BAB79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156347" y="228205"/>
          <a:ext cx="951006" cy="81359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1274299</xdr:colOff>
      <xdr:row>0</xdr:row>
      <xdr:rowOff>36891</xdr:rowOff>
    </xdr:from>
    <xdr:to>
      <xdr:col>0</xdr:col>
      <xdr:colOff>2933700</xdr:colOff>
      <xdr:row>0</xdr:row>
      <xdr:rowOff>1030724</xdr:rowOff>
    </xdr:to>
    <xdr:pic>
      <xdr:nvPicPr>
        <xdr:cNvPr id="2" name="Imagen 2">
          <a:extLst>
            <a:ext uri="{FF2B5EF4-FFF2-40B4-BE49-F238E27FC236}">
              <a16:creationId xmlns:a16="http://schemas.microsoft.com/office/drawing/2014/main" id="{E02CFD5B-2682-4FF0-9D8A-36870A7B9B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74299" y="36891"/>
          <a:ext cx="1659401" cy="993833"/>
        </a:xfrm>
        <a:prstGeom prst="rect">
          <a:avLst/>
        </a:prstGeom>
      </xdr:spPr>
    </xdr:pic>
    <xdr:clientData/>
  </xdr:twoCellAnchor>
  <xdr:twoCellAnchor editAs="oneCell">
    <xdr:from>
      <xdr:col>0</xdr:col>
      <xdr:colOff>219365</xdr:colOff>
      <xdr:row>0</xdr:row>
      <xdr:rowOff>33355</xdr:rowOff>
    </xdr:from>
    <xdr:to>
      <xdr:col>0</xdr:col>
      <xdr:colOff>1202056</xdr:colOff>
      <xdr:row>0</xdr:row>
      <xdr:rowOff>1047751</xdr:rowOff>
    </xdr:to>
    <xdr:pic>
      <xdr:nvPicPr>
        <xdr:cNvPr id="3" name="Imagen 3">
          <a:extLst>
            <a:ext uri="{FF2B5EF4-FFF2-40B4-BE49-F238E27FC236}">
              <a16:creationId xmlns:a16="http://schemas.microsoft.com/office/drawing/2014/main" id="{AE66AE90-EB6F-43FB-89CC-76166BA1D8F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9365" y="33355"/>
          <a:ext cx="990311" cy="1004871"/>
        </a:xfrm>
        <a:prstGeom prst="rect">
          <a:avLst/>
        </a:prstGeom>
      </xdr:spPr>
    </xdr:pic>
    <xdr:clientData/>
  </xdr:twoCellAnchor>
  <xdr:twoCellAnchor editAs="oneCell">
    <xdr:from>
      <xdr:col>0</xdr:col>
      <xdr:colOff>3009900</xdr:colOff>
      <xdr:row>0</xdr:row>
      <xdr:rowOff>114301</xdr:rowOff>
    </xdr:from>
    <xdr:to>
      <xdr:col>1</xdr:col>
      <xdr:colOff>522208</xdr:colOff>
      <xdr:row>0</xdr:row>
      <xdr:rowOff>934403</xdr:rowOff>
    </xdr:to>
    <xdr:pic>
      <xdr:nvPicPr>
        <xdr:cNvPr id="4" name="Picture 3">
          <a:extLst>
            <a:ext uri="{FF2B5EF4-FFF2-40B4-BE49-F238E27FC236}">
              <a16:creationId xmlns:a16="http://schemas.microsoft.com/office/drawing/2014/main" id="{35592F76-A70B-4462-BFE6-096F8563FCE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009900" y="114301"/>
          <a:ext cx="957501" cy="8191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774558</xdr:colOff>
      <xdr:row>0</xdr:row>
      <xdr:rowOff>3537</xdr:rowOff>
    </xdr:from>
    <xdr:to>
      <xdr:col>2</xdr:col>
      <xdr:colOff>769178</xdr:colOff>
      <xdr:row>0</xdr:row>
      <xdr:rowOff>1191710</xdr:rowOff>
    </xdr:to>
    <xdr:pic>
      <xdr:nvPicPr>
        <xdr:cNvPr id="2" name="Imagen 1">
          <a:extLst>
            <a:ext uri="{FF2B5EF4-FFF2-40B4-BE49-F238E27FC236}">
              <a16:creationId xmlns:a16="http://schemas.microsoft.com/office/drawing/2014/main" id="{06E7EDEC-537D-49E7-B058-5238F7B6545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88983" y="3537"/>
          <a:ext cx="1836755" cy="1184363"/>
        </a:xfrm>
        <a:prstGeom prst="rect">
          <a:avLst/>
        </a:prstGeom>
      </xdr:spPr>
    </xdr:pic>
    <xdr:clientData/>
  </xdr:twoCellAnchor>
  <xdr:twoCellAnchor editAs="oneCell">
    <xdr:from>
      <xdr:col>0</xdr:col>
      <xdr:colOff>0</xdr:colOff>
      <xdr:row>0</xdr:row>
      <xdr:rowOff>0</xdr:rowOff>
    </xdr:from>
    <xdr:to>
      <xdr:col>0</xdr:col>
      <xdr:colOff>1066231</xdr:colOff>
      <xdr:row>0</xdr:row>
      <xdr:rowOff>1206562</xdr:rowOff>
    </xdr:to>
    <xdr:pic>
      <xdr:nvPicPr>
        <xdr:cNvPr id="3" name="Imagen 2">
          <a:extLst>
            <a:ext uri="{FF2B5EF4-FFF2-40B4-BE49-F238E27FC236}">
              <a16:creationId xmlns:a16="http://schemas.microsoft.com/office/drawing/2014/main" id="{55ECE59D-212C-4E4D-AADB-0DE64FF982B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066231" cy="1210372"/>
        </a:xfrm>
        <a:prstGeom prst="rect">
          <a:avLst/>
        </a:prstGeom>
      </xdr:spPr>
    </xdr:pic>
    <xdr:clientData/>
  </xdr:twoCellAnchor>
  <xdr:twoCellAnchor editAs="oneCell">
    <xdr:from>
      <xdr:col>2</xdr:col>
      <xdr:colOff>1345406</xdr:colOff>
      <xdr:row>0</xdr:row>
      <xdr:rowOff>178594</xdr:rowOff>
    </xdr:from>
    <xdr:to>
      <xdr:col>3</xdr:col>
      <xdr:colOff>988277</xdr:colOff>
      <xdr:row>0</xdr:row>
      <xdr:rowOff>1091565</xdr:rowOff>
    </xdr:to>
    <xdr:pic>
      <xdr:nvPicPr>
        <xdr:cNvPr id="4" name="Picture 3">
          <a:extLst>
            <a:ext uri="{FF2B5EF4-FFF2-40B4-BE49-F238E27FC236}">
              <a16:creationId xmlns:a16="http://schemas.microsoft.com/office/drawing/2014/main" id="{856B3B6A-AA95-4F42-A92C-6F2B9A115B4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069556" y="178594"/>
          <a:ext cx="1062096" cy="91678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1346058</xdr:colOff>
      <xdr:row>0</xdr:row>
      <xdr:rowOff>41637</xdr:rowOff>
    </xdr:from>
    <xdr:to>
      <xdr:col>1</xdr:col>
      <xdr:colOff>982538</xdr:colOff>
      <xdr:row>0</xdr:row>
      <xdr:rowOff>1226000</xdr:rowOff>
    </xdr:to>
    <xdr:pic>
      <xdr:nvPicPr>
        <xdr:cNvPr id="2" name="Imagen 1">
          <a:extLst>
            <a:ext uri="{FF2B5EF4-FFF2-40B4-BE49-F238E27FC236}">
              <a16:creationId xmlns:a16="http://schemas.microsoft.com/office/drawing/2014/main" id="{5CEB009D-19FB-4443-89B4-7BF3C7F1BF4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46058" y="41637"/>
          <a:ext cx="1665305" cy="1184363"/>
        </a:xfrm>
        <a:prstGeom prst="rect">
          <a:avLst/>
        </a:prstGeom>
      </xdr:spPr>
    </xdr:pic>
    <xdr:clientData/>
  </xdr:twoCellAnchor>
  <xdr:twoCellAnchor editAs="oneCell">
    <xdr:from>
      <xdr:col>0</xdr:col>
      <xdr:colOff>0</xdr:colOff>
      <xdr:row>0</xdr:row>
      <xdr:rowOff>0</xdr:rowOff>
    </xdr:from>
    <xdr:to>
      <xdr:col>0</xdr:col>
      <xdr:colOff>1199581</xdr:colOff>
      <xdr:row>0</xdr:row>
      <xdr:rowOff>1210372</xdr:rowOff>
    </xdr:to>
    <xdr:pic>
      <xdr:nvPicPr>
        <xdr:cNvPr id="3" name="Imagen 2">
          <a:extLst>
            <a:ext uri="{FF2B5EF4-FFF2-40B4-BE49-F238E27FC236}">
              <a16:creationId xmlns:a16="http://schemas.microsoft.com/office/drawing/2014/main" id="{92E5F91E-C0B7-439F-91F6-A4C4009CCB1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199581" cy="1210372"/>
        </a:xfrm>
        <a:prstGeom prst="rect">
          <a:avLst/>
        </a:prstGeom>
      </xdr:spPr>
    </xdr:pic>
    <xdr:clientData/>
  </xdr:twoCellAnchor>
  <xdr:twoCellAnchor editAs="oneCell">
    <xdr:from>
      <xdr:col>1</xdr:col>
      <xdr:colOff>1104900</xdr:colOff>
      <xdr:row>0</xdr:row>
      <xdr:rowOff>152400</xdr:rowOff>
    </xdr:from>
    <xdr:to>
      <xdr:col>2</xdr:col>
      <xdr:colOff>868421</xdr:colOff>
      <xdr:row>0</xdr:row>
      <xdr:rowOff>1069181</xdr:rowOff>
    </xdr:to>
    <xdr:pic>
      <xdr:nvPicPr>
        <xdr:cNvPr id="4" name="Picture 3">
          <a:extLst>
            <a:ext uri="{FF2B5EF4-FFF2-40B4-BE49-F238E27FC236}">
              <a16:creationId xmlns:a16="http://schemas.microsoft.com/office/drawing/2014/main" id="{B9EFF158-C52C-45E1-81B7-E92C2E9CA17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133725" y="152400"/>
          <a:ext cx="1068446" cy="91678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1187450</xdr:colOff>
      <xdr:row>0</xdr:row>
      <xdr:rowOff>29193</xdr:rowOff>
    </xdr:from>
    <xdr:to>
      <xdr:col>1</xdr:col>
      <xdr:colOff>2915602</xdr:colOff>
      <xdr:row>0</xdr:row>
      <xdr:rowOff>1083898</xdr:rowOff>
    </xdr:to>
    <xdr:pic>
      <xdr:nvPicPr>
        <xdr:cNvPr id="2" name="Imagen 15">
          <a:extLst>
            <a:ext uri="{FF2B5EF4-FFF2-40B4-BE49-F238E27FC236}">
              <a16:creationId xmlns:a16="http://schemas.microsoft.com/office/drawing/2014/main" id="{DA4FAFDF-7952-4D36-A2DC-FEABAC79C8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06575" y="29193"/>
          <a:ext cx="1727200" cy="1044228"/>
        </a:xfrm>
        <a:prstGeom prst="rect">
          <a:avLst/>
        </a:prstGeom>
      </xdr:spPr>
    </xdr:pic>
    <xdr:clientData/>
  </xdr:twoCellAnchor>
  <xdr:twoCellAnchor editAs="oneCell">
    <xdr:from>
      <xdr:col>1</xdr:col>
      <xdr:colOff>0</xdr:colOff>
      <xdr:row>0</xdr:row>
      <xdr:rowOff>0</xdr:rowOff>
    </xdr:from>
    <xdr:to>
      <xdr:col>1</xdr:col>
      <xdr:colOff>1056110</xdr:colOff>
      <xdr:row>0</xdr:row>
      <xdr:rowOff>1056110</xdr:rowOff>
    </xdr:to>
    <xdr:pic>
      <xdr:nvPicPr>
        <xdr:cNvPr id="3" name="Imagen 16">
          <a:extLst>
            <a:ext uri="{FF2B5EF4-FFF2-40B4-BE49-F238E27FC236}">
              <a16:creationId xmlns:a16="http://schemas.microsoft.com/office/drawing/2014/main" id="{A1022492-ADFA-4DEA-8582-F11362536D2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9125" y="0"/>
          <a:ext cx="1055158" cy="1055158"/>
        </a:xfrm>
        <a:prstGeom prst="rect">
          <a:avLst/>
        </a:prstGeom>
      </xdr:spPr>
    </xdr:pic>
    <xdr:clientData/>
  </xdr:twoCellAnchor>
  <xdr:twoCellAnchor editAs="oneCell">
    <xdr:from>
      <xdr:col>4</xdr:col>
      <xdr:colOff>1500061</xdr:colOff>
      <xdr:row>48</xdr:row>
      <xdr:rowOff>68511</xdr:rowOff>
    </xdr:from>
    <xdr:to>
      <xdr:col>5</xdr:col>
      <xdr:colOff>487754</xdr:colOff>
      <xdr:row>50</xdr:row>
      <xdr:rowOff>131537</xdr:rowOff>
    </xdr:to>
    <xdr:pic>
      <xdr:nvPicPr>
        <xdr:cNvPr id="4" name="Imagen 17">
          <a:extLst>
            <a:ext uri="{FF2B5EF4-FFF2-40B4-BE49-F238E27FC236}">
              <a16:creationId xmlns:a16="http://schemas.microsoft.com/office/drawing/2014/main" id="{8A91325E-0195-4B9E-BFF6-41C182CCC52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870030" y="11069886"/>
          <a:ext cx="821255" cy="586901"/>
        </a:xfrm>
        <a:prstGeom prst="rect">
          <a:avLst/>
        </a:prstGeom>
      </xdr:spPr>
    </xdr:pic>
    <xdr:clientData/>
  </xdr:twoCellAnchor>
  <xdr:twoCellAnchor editAs="oneCell">
    <xdr:from>
      <xdr:col>4</xdr:col>
      <xdr:colOff>866245</xdr:colOff>
      <xdr:row>48</xdr:row>
      <xdr:rowOff>76201</xdr:rowOff>
    </xdr:from>
    <xdr:to>
      <xdr:col>4</xdr:col>
      <xdr:colOff>1459017</xdr:colOff>
      <xdr:row>50</xdr:row>
      <xdr:rowOff>131538</xdr:rowOff>
    </xdr:to>
    <xdr:pic>
      <xdr:nvPicPr>
        <xdr:cNvPr id="5" name="Imagen 18">
          <a:extLst>
            <a:ext uri="{FF2B5EF4-FFF2-40B4-BE49-F238E27FC236}">
              <a16:creationId xmlns:a16="http://schemas.microsoft.com/office/drawing/2014/main" id="{05C348B9-E49A-4641-9D37-2DF78D9965E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236214" y="11077576"/>
          <a:ext cx="588010" cy="579212"/>
        </a:xfrm>
        <a:prstGeom prst="rect">
          <a:avLst/>
        </a:prstGeom>
      </xdr:spPr>
    </xdr:pic>
    <xdr:clientData/>
  </xdr:twoCellAnchor>
  <xdr:twoCellAnchor>
    <xdr:from>
      <xdr:col>1</xdr:col>
      <xdr:colOff>11906</xdr:colOff>
      <xdr:row>51</xdr:row>
      <xdr:rowOff>7218</xdr:rowOff>
    </xdr:from>
    <xdr:to>
      <xdr:col>3</xdr:col>
      <xdr:colOff>1135855</xdr:colOff>
      <xdr:row>64</xdr:row>
      <xdr:rowOff>73818</xdr:rowOff>
    </xdr:to>
    <xdr:graphicFrame macro="">
      <xdr:nvGraphicFramePr>
        <xdr:cNvPr id="6" name="6 Gráfico">
          <a:extLst>
            <a:ext uri="{FF2B5EF4-FFF2-40B4-BE49-F238E27FC236}">
              <a16:creationId xmlns:a16="http://schemas.microsoft.com/office/drawing/2014/main" id="{886A0CE3-53D4-4044-93E1-536613774D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35719</xdr:colOff>
      <xdr:row>99</xdr:row>
      <xdr:rowOff>238125</xdr:rowOff>
    </xdr:from>
    <xdr:to>
      <xdr:col>5</xdr:col>
      <xdr:colOff>533399</xdr:colOff>
      <xdr:row>130</xdr:row>
      <xdr:rowOff>190500</xdr:rowOff>
    </xdr:to>
    <xdr:graphicFrame macro="">
      <xdr:nvGraphicFramePr>
        <xdr:cNvPr id="7" name="6 Gráfico">
          <a:extLst>
            <a:ext uri="{FF2B5EF4-FFF2-40B4-BE49-F238E27FC236}">
              <a16:creationId xmlns:a16="http://schemas.microsoft.com/office/drawing/2014/main" id="{6D66BEB3-37C6-40F8-8D6F-C01E6C1D68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11905</xdr:colOff>
      <xdr:row>68</xdr:row>
      <xdr:rowOff>0</xdr:rowOff>
    </xdr:from>
    <xdr:to>
      <xdr:col>5</xdr:col>
      <xdr:colOff>533400</xdr:colOff>
      <xdr:row>97</xdr:row>
      <xdr:rowOff>4762</xdr:rowOff>
    </xdr:to>
    <xdr:graphicFrame macro="">
      <xdr:nvGraphicFramePr>
        <xdr:cNvPr id="8" name="Gráfico 40">
          <a:extLst>
            <a:ext uri="{FF2B5EF4-FFF2-40B4-BE49-F238E27FC236}">
              <a16:creationId xmlns:a16="http://schemas.microsoft.com/office/drawing/2014/main" id="{03312181-007A-47E6-A455-4FB29DA224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xdr:col>
      <xdr:colOff>3059907</xdr:colOff>
      <xdr:row>0</xdr:row>
      <xdr:rowOff>95251</xdr:rowOff>
    </xdr:from>
    <xdr:to>
      <xdr:col>1</xdr:col>
      <xdr:colOff>4056222</xdr:colOff>
      <xdr:row>0</xdr:row>
      <xdr:rowOff>950867</xdr:rowOff>
    </xdr:to>
    <xdr:pic>
      <xdr:nvPicPr>
        <xdr:cNvPr id="13" name="Picture 12">
          <a:extLst>
            <a:ext uri="{FF2B5EF4-FFF2-40B4-BE49-F238E27FC236}">
              <a16:creationId xmlns:a16="http://schemas.microsoft.com/office/drawing/2014/main" id="{E0D46043-68BB-4BF7-B9B5-44A936FDAFC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679032" y="95251"/>
          <a:ext cx="1000125" cy="855616"/>
        </a:xfrm>
        <a:prstGeom prst="rect">
          <a:avLst/>
        </a:prstGeom>
      </xdr:spPr>
    </xdr:pic>
    <xdr:clientData/>
  </xdr:twoCellAnchor>
  <xdr:twoCellAnchor editAs="oneCell">
    <xdr:from>
      <xdr:col>4</xdr:col>
      <xdr:colOff>148753</xdr:colOff>
      <xdr:row>48</xdr:row>
      <xdr:rowOff>74083</xdr:rowOff>
    </xdr:from>
    <xdr:to>
      <xdr:col>4</xdr:col>
      <xdr:colOff>819150</xdr:colOff>
      <xdr:row>50</xdr:row>
      <xdr:rowOff>140565</xdr:rowOff>
    </xdr:to>
    <xdr:pic>
      <xdr:nvPicPr>
        <xdr:cNvPr id="14" name="Picture 13">
          <a:extLst>
            <a:ext uri="{FF2B5EF4-FFF2-40B4-BE49-F238E27FC236}">
              <a16:creationId xmlns:a16="http://schemas.microsoft.com/office/drawing/2014/main" id="{70A0E952-FD1E-40D9-A745-8E94CA8E679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518722" y="11075458"/>
          <a:ext cx="665635" cy="590357"/>
        </a:xfrm>
        <a:prstGeom prst="rect">
          <a:avLst/>
        </a:prstGeom>
      </xdr:spPr>
    </xdr:pic>
    <xdr:clientData/>
  </xdr:twoCellAnchor>
  <xdr:twoCellAnchor editAs="oneCell">
    <xdr:from>
      <xdr:col>4</xdr:col>
      <xdr:colOff>1437030</xdr:colOff>
      <xdr:row>65</xdr:row>
      <xdr:rowOff>85722</xdr:rowOff>
    </xdr:from>
    <xdr:to>
      <xdr:col>5</xdr:col>
      <xdr:colOff>429485</xdr:colOff>
      <xdr:row>67</xdr:row>
      <xdr:rowOff>153510</xdr:rowOff>
    </xdr:to>
    <xdr:pic>
      <xdr:nvPicPr>
        <xdr:cNvPr id="17" name="Imagen 17">
          <a:extLst>
            <a:ext uri="{FF2B5EF4-FFF2-40B4-BE49-F238E27FC236}">
              <a16:creationId xmlns:a16="http://schemas.microsoft.com/office/drawing/2014/main" id="{1B07D539-65A5-4E86-AC1F-5E1D88EB18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806999" y="17052128"/>
          <a:ext cx="821255" cy="591663"/>
        </a:xfrm>
        <a:prstGeom prst="rect">
          <a:avLst/>
        </a:prstGeom>
      </xdr:spPr>
    </xdr:pic>
    <xdr:clientData/>
  </xdr:twoCellAnchor>
  <xdr:twoCellAnchor editAs="oneCell">
    <xdr:from>
      <xdr:col>4</xdr:col>
      <xdr:colOff>798452</xdr:colOff>
      <xdr:row>65</xdr:row>
      <xdr:rowOff>93412</xdr:rowOff>
    </xdr:from>
    <xdr:to>
      <xdr:col>4</xdr:col>
      <xdr:colOff>1400748</xdr:colOff>
      <xdr:row>67</xdr:row>
      <xdr:rowOff>153511</xdr:rowOff>
    </xdr:to>
    <xdr:pic>
      <xdr:nvPicPr>
        <xdr:cNvPr id="18" name="Imagen 18">
          <a:extLst>
            <a:ext uri="{FF2B5EF4-FFF2-40B4-BE49-F238E27FC236}">
              <a16:creationId xmlns:a16="http://schemas.microsoft.com/office/drawing/2014/main" id="{FE711EE0-C2FA-4882-8445-A466F7C7E2F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68421" y="17059818"/>
          <a:ext cx="597534" cy="583974"/>
        </a:xfrm>
        <a:prstGeom prst="rect">
          <a:avLst/>
        </a:prstGeom>
      </xdr:spPr>
    </xdr:pic>
    <xdr:clientData/>
  </xdr:twoCellAnchor>
  <xdr:twoCellAnchor editAs="oneCell">
    <xdr:from>
      <xdr:col>4</xdr:col>
      <xdr:colOff>85722</xdr:colOff>
      <xdr:row>65</xdr:row>
      <xdr:rowOff>96056</xdr:rowOff>
    </xdr:from>
    <xdr:to>
      <xdr:col>4</xdr:col>
      <xdr:colOff>751357</xdr:colOff>
      <xdr:row>67</xdr:row>
      <xdr:rowOff>162538</xdr:rowOff>
    </xdr:to>
    <xdr:pic>
      <xdr:nvPicPr>
        <xdr:cNvPr id="19" name="Picture 18">
          <a:extLst>
            <a:ext uri="{FF2B5EF4-FFF2-40B4-BE49-F238E27FC236}">
              <a16:creationId xmlns:a16="http://schemas.microsoft.com/office/drawing/2014/main" id="{FFDD7F11-7E7B-4247-B3A8-20B5440533A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455691" y="17062462"/>
          <a:ext cx="665635" cy="590357"/>
        </a:xfrm>
        <a:prstGeom prst="rect">
          <a:avLst/>
        </a:prstGeom>
      </xdr:spPr>
    </xdr:pic>
    <xdr:clientData/>
  </xdr:twoCellAnchor>
  <xdr:twoCellAnchor editAs="oneCell">
    <xdr:from>
      <xdr:col>4</xdr:col>
      <xdr:colOff>1420362</xdr:colOff>
      <xdr:row>97</xdr:row>
      <xdr:rowOff>97628</xdr:rowOff>
    </xdr:from>
    <xdr:to>
      <xdr:col>5</xdr:col>
      <xdr:colOff>412817</xdr:colOff>
      <xdr:row>99</xdr:row>
      <xdr:rowOff>170178</xdr:rowOff>
    </xdr:to>
    <xdr:pic>
      <xdr:nvPicPr>
        <xdr:cNvPr id="20" name="Imagen 17">
          <a:extLst>
            <a:ext uri="{FF2B5EF4-FFF2-40B4-BE49-F238E27FC236}">
              <a16:creationId xmlns:a16="http://schemas.microsoft.com/office/drawing/2014/main" id="{644F402A-A23D-47DF-BCBD-69908F1808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790331" y="22683784"/>
          <a:ext cx="826017" cy="596425"/>
        </a:xfrm>
        <a:prstGeom prst="rect">
          <a:avLst/>
        </a:prstGeom>
      </xdr:spPr>
    </xdr:pic>
    <xdr:clientData/>
  </xdr:twoCellAnchor>
  <xdr:twoCellAnchor editAs="oneCell">
    <xdr:from>
      <xdr:col>4</xdr:col>
      <xdr:colOff>781784</xdr:colOff>
      <xdr:row>97</xdr:row>
      <xdr:rowOff>105318</xdr:rowOff>
    </xdr:from>
    <xdr:to>
      <xdr:col>4</xdr:col>
      <xdr:colOff>1384080</xdr:colOff>
      <xdr:row>99</xdr:row>
      <xdr:rowOff>170179</xdr:rowOff>
    </xdr:to>
    <xdr:pic>
      <xdr:nvPicPr>
        <xdr:cNvPr id="21" name="Imagen 18">
          <a:extLst>
            <a:ext uri="{FF2B5EF4-FFF2-40B4-BE49-F238E27FC236}">
              <a16:creationId xmlns:a16="http://schemas.microsoft.com/office/drawing/2014/main" id="{DD900D3F-ABEC-4835-8103-C3A31FB17DC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51753" y="22691474"/>
          <a:ext cx="602296" cy="588736"/>
        </a:xfrm>
        <a:prstGeom prst="rect">
          <a:avLst/>
        </a:prstGeom>
      </xdr:spPr>
    </xdr:pic>
    <xdr:clientData/>
  </xdr:twoCellAnchor>
  <xdr:twoCellAnchor editAs="oneCell">
    <xdr:from>
      <xdr:col>4</xdr:col>
      <xdr:colOff>69054</xdr:colOff>
      <xdr:row>97</xdr:row>
      <xdr:rowOff>112724</xdr:rowOff>
    </xdr:from>
    <xdr:to>
      <xdr:col>4</xdr:col>
      <xdr:colOff>734689</xdr:colOff>
      <xdr:row>99</xdr:row>
      <xdr:rowOff>179206</xdr:rowOff>
    </xdr:to>
    <xdr:pic>
      <xdr:nvPicPr>
        <xdr:cNvPr id="22" name="Picture 21">
          <a:extLst>
            <a:ext uri="{FF2B5EF4-FFF2-40B4-BE49-F238E27FC236}">
              <a16:creationId xmlns:a16="http://schemas.microsoft.com/office/drawing/2014/main" id="{899CA4CD-4D4B-49F6-A999-E4B562F88FC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439023" y="22698880"/>
          <a:ext cx="665635" cy="59035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993963</xdr:colOff>
      <xdr:row>0</xdr:row>
      <xdr:rowOff>106888</xdr:rowOff>
    </xdr:from>
    <xdr:to>
      <xdr:col>2</xdr:col>
      <xdr:colOff>2082912</xdr:colOff>
      <xdr:row>0</xdr:row>
      <xdr:rowOff>762000</xdr:rowOff>
    </xdr:to>
    <xdr:pic>
      <xdr:nvPicPr>
        <xdr:cNvPr id="2" name="Imagen 2">
          <a:extLst>
            <a:ext uri="{FF2B5EF4-FFF2-40B4-BE49-F238E27FC236}">
              <a16:creationId xmlns:a16="http://schemas.microsoft.com/office/drawing/2014/main" id="{7B606720-E632-4E34-BBA0-C6A1ECA871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51413" y="106888"/>
          <a:ext cx="1088949" cy="655112"/>
        </a:xfrm>
        <a:prstGeom prst="rect">
          <a:avLst/>
        </a:prstGeom>
      </xdr:spPr>
    </xdr:pic>
    <xdr:clientData/>
  </xdr:twoCellAnchor>
  <xdr:twoCellAnchor editAs="oneCell">
    <xdr:from>
      <xdr:col>1</xdr:col>
      <xdr:colOff>97117</xdr:colOff>
      <xdr:row>0</xdr:row>
      <xdr:rowOff>298824</xdr:rowOff>
    </xdr:from>
    <xdr:to>
      <xdr:col>1</xdr:col>
      <xdr:colOff>1323722</xdr:colOff>
      <xdr:row>0</xdr:row>
      <xdr:rowOff>1522254</xdr:rowOff>
    </xdr:to>
    <xdr:pic>
      <xdr:nvPicPr>
        <xdr:cNvPr id="3" name="Imagen 3">
          <a:extLst>
            <a:ext uri="{FF2B5EF4-FFF2-40B4-BE49-F238E27FC236}">
              <a16:creationId xmlns:a16="http://schemas.microsoft.com/office/drawing/2014/main" id="{21AA2904-EF0B-484F-8AF8-EC98B90CC5B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1942" y="298824"/>
          <a:ext cx="1226605" cy="1223430"/>
        </a:xfrm>
        <a:prstGeom prst="rect">
          <a:avLst/>
        </a:prstGeom>
      </xdr:spPr>
    </xdr:pic>
    <xdr:clientData/>
  </xdr:twoCellAnchor>
  <xdr:twoCellAnchor editAs="oneCell">
    <xdr:from>
      <xdr:col>2</xdr:col>
      <xdr:colOff>2247900</xdr:colOff>
      <xdr:row>0</xdr:row>
      <xdr:rowOff>200026</xdr:rowOff>
    </xdr:from>
    <xdr:to>
      <xdr:col>2</xdr:col>
      <xdr:colOff>2871388</xdr:colOff>
      <xdr:row>0</xdr:row>
      <xdr:rowOff>733425</xdr:rowOff>
    </xdr:to>
    <xdr:pic>
      <xdr:nvPicPr>
        <xdr:cNvPr id="4" name="Picture 3">
          <a:extLst>
            <a:ext uri="{FF2B5EF4-FFF2-40B4-BE49-F238E27FC236}">
              <a16:creationId xmlns:a16="http://schemas.microsoft.com/office/drawing/2014/main" id="{3AB69CF4-F7BA-4822-85EE-A970F942B23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705350" y="200026"/>
          <a:ext cx="623488" cy="533399"/>
        </a:xfrm>
        <a:prstGeom prst="rect">
          <a:avLst/>
        </a:prstGeom>
      </xdr:spPr>
    </xdr:pic>
    <xdr:clientData/>
  </xdr:twoCellAnchor>
  <xdr:twoCellAnchor editAs="oneCell">
    <xdr:from>
      <xdr:col>2</xdr:col>
      <xdr:colOff>57150</xdr:colOff>
      <xdr:row>0</xdr:row>
      <xdr:rowOff>66675</xdr:rowOff>
    </xdr:from>
    <xdr:to>
      <xdr:col>2</xdr:col>
      <xdr:colOff>819150</xdr:colOff>
      <xdr:row>0</xdr:row>
      <xdr:rowOff>802114</xdr:rowOff>
    </xdr:to>
    <xdr:pic>
      <xdr:nvPicPr>
        <xdr:cNvPr id="5" name="Imagen 6">
          <a:extLst>
            <a:ext uri="{FF2B5EF4-FFF2-40B4-BE49-F238E27FC236}">
              <a16:creationId xmlns:a16="http://schemas.microsoft.com/office/drawing/2014/main" id="{8D7AF0A9-4493-4BBA-838A-0A4A3D6AFD8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514600" y="66675"/>
          <a:ext cx="762000" cy="73543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815481</xdr:colOff>
      <xdr:row>0</xdr:row>
      <xdr:rowOff>1</xdr:rowOff>
    </xdr:from>
    <xdr:to>
      <xdr:col>2</xdr:col>
      <xdr:colOff>35279</xdr:colOff>
      <xdr:row>3</xdr:row>
      <xdr:rowOff>105184</xdr:rowOff>
    </xdr:to>
    <xdr:pic>
      <xdr:nvPicPr>
        <xdr:cNvPr id="2" name="Imagen 5">
          <a:extLst>
            <a:ext uri="{FF2B5EF4-FFF2-40B4-BE49-F238E27FC236}">
              <a16:creationId xmlns:a16="http://schemas.microsoft.com/office/drawing/2014/main" id="{4BD3C5FF-D4B8-4EC9-8C09-DA43394FE06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5481" y="1"/>
          <a:ext cx="1220048" cy="762408"/>
        </a:xfrm>
        <a:prstGeom prst="rect">
          <a:avLst/>
        </a:prstGeom>
      </xdr:spPr>
    </xdr:pic>
    <xdr:clientData/>
  </xdr:twoCellAnchor>
  <xdr:twoCellAnchor editAs="oneCell">
    <xdr:from>
      <xdr:col>0</xdr:col>
      <xdr:colOff>1</xdr:colOff>
      <xdr:row>0</xdr:row>
      <xdr:rowOff>0</xdr:rowOff>
    </xdr:from>
    <xdr:to>
      <xdr:col>0</xdr:col>
      <xdr:colOff>762001</xdr:colOff>
      <xdr:row>3</xdr:row>
      <xdr:rowOff>82296</xdr:rowOff>
    </xdr:to>
    <xdr:pic>
      <xdr:nvPicPr>
        <xdr:cNvPr id="3" name="Imagen 6">
          <a:extLst>
            <a:ext uri="{FF2B5EF4-FFF2-40B4-BE49-F238E27FC236}">
              <a16:creationId xmlns:a16="http://schemas.microsoft.com/office/drawing/2014/main" id="{7F35FFDE-FFA8-4CB2-8747-1727B297B56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 y="0"/>
          <a:ext cx="762000" cy="739521"/>
        </a:xfrm>
        <a:prstGeom prst="rect">
          <a:avLst/>
        </a:prstGeom>
      </xdr:spPr>
    </xdr:pic>
    <xdr:clientData/>
  </xdr:twoCellAnchor>
  <xdr:twoCellAnchor editAs="oneCell">
    <xdr:from>
      <xdr:col>2</xdr:col>
      <xdr:colOff>81643</xdr:colOff>
      <xdr:row>0</xdr:row>
      <xdr:rowOff>68036</xdr:rowOff>
    </xdr:from>
    <xdr:to>
      <xdr:col>2</xdr:col>
      <xdr:colOff>892814</xdr:colOff>
      <xdr:row>3</xdr:row>
      <xdr:rowOff>108857</xdr:rowOff>
    </xdr:to>
    <xdr:pic>
      <xdr:nvPicPr>
        <xdr:cNvPr id="4" name="Picture 3">
          <a:extLst>
            <a:ext uri="{FF2B5EF4-FFF2-40B4-BE49-F238E27FC236}">
              <a16:creationId xmlns:a16="http://schemas.microsoft.com/office/drawing/2014/main" id="{757347D2-37BE-4033-8E96-4F456D9BE42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081893" y="68036"/>
          <a:ext cx="811171" cy="698046"/>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BOTTOMLEY James (ENGIE Impact)" id="{EB2921B0-3FA5-4B37-9F85-672CD6B1808A}" userId="PG6416@engie.com" providerId="PeoplePicker"/>
  <person displayName="SOLOMON Brian (ENGIE Impact)" id="{9E7A2796-492C-40DC-9668-D8829F11E083}" userId="S::HT6219@engie.com::a32b2ae7-27f3-4ef7-9d01-c1943502ec2e" providerId="AD"/>
</personList>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tegory" xr10:uid="{8966C8AA-3F85-49C6-AB1A-FE95B6024AD2}" sourceName="Category">
  <extLst>
    <x:ext xmlns:x15="http://schemas.microsoft.com/office/spreadsheetml/2010/11/main" uri="{2F2917AC-EB37-4324-AD4E-5DD8C200BD13}">
      <x15:tableSlicerCache tableId="18" column="4"/>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ub_category" xr10:uid="{7435C39E-F2F2-459F-9381-F5F0A5E4CD4D}" sourceName="Sub-category">
  <extLst>
    <x:ext xmlns:x15="http://schemas.microsoft.com/office/spreadsheetml/2010/11/main" uri="{2F2917AC-EB37-4324-AD4E-5DD8C200BD13}">
      <x15:tableSlicerCache tableId="18" column="5"/>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tegory1" xr10:uid="{A3C08543-B608-438B-97E1-6597673FE016}" sourceName="Category">
  <extLst>
    <x:ext xmlns:x15="http://schemas.microsoft.com/office/spreadsheetml/2010/11/main" uri="{2F2917AC-EB37-4324-AD4E-5DD8C200BD13}">
      <x15:tableSlicerCache tableId="20" column="4"/>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ub_category2" xr10:uid="{544DF6FF-7F10-459F-A337-376FC7D8B675}" sourceName="Sub-category">
  <extLst>
    <x:ext xmlns:x15="http://schemas.microsoft.com/office/spreadsheetml/2010/11/main" uri="{2F2917AC-EB37-4324-AD4E-5DD8C200BD13}">
      <x15:tableSlicerCache tableId="20" column="5"/>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ategory 1" xr10:uid="{54C16A0E-956B-436F-B514-37A202D44D70}" cache="Slicer_Category" caption="Category" rowHeight="234950"/>
  <slicer name="Sub-category 2" xr10:uid="{B97F7799-2C00-485D-BCFC-36733DC7F7CF}" cache="Slicer_Sub_category" caption="Sub-category" rowHeight="23495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ategory 2" xr10:uid="{68E719FC-046E-49DA-AE25-939D2993BCE3}" cache="Slicer_Category1" caption="Category" rowHeight="234950"/>
  <slicer name="Sub-category 4" xr10:uid="{0B3DDE20-EDB0-479B-9DC5-C138B7C1CCDA}" cache="Slicer_Sub_category2" caption="Sub-category" rowHeight="23495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B13A7355-37E7-4575-9E3D-CF3AE711C8F3}" name="Table310" displayName="Table310" ref="C18:Q411" totalsRowShown="0" headerRowDxfId="136" dataDxfId="135">
  <autoFilter ref="C18:Q411" xr:uid="{8F76A333-D6C9-4E64-9795-E3C672D50ECF}"/>
  <tableColumns count="15">
    <tableColumn id="2" xr3:uid="{82F77464-3922-409E-8348-53B1090071EC}" name="Commodity Name" dataDxfId="134"/>
    <tableColumn id="10" xr3:uid="{1C7BDD1E-DFCF-41B8-B698-40E83723C0D5}" name="Item Description (optional)" dataDxfId="133"/>
    <tableColumn id="11" xr3:uid="{1F9A85FD-FDD0-4C31-877E-761F9B2D2C6C}" name="Annual procurement_x000a_spend ($)" dataDxfId="132"/>
    <tableColumn id="12" xr3:uid="{7A4D95D6-BDC0-4774-9BB4-8440E5CF9696}" name="Procurement via: Wholesaler /Retailer/ Distributor or Direct-from-Manufacturer?_x000a_Leave Blank if Unknown" dataDxfId="131"/>
    <tableColumn id="13" xr3:uid="{43BD3B84-608A-44CC-87A2-402B00645906}" name="Emissions (MTCO2e)" dataDxfId="130">
      <calculatedColumnFormula>IFERROR(IF(E19="","",IF(F19="Direct-from-manufacturer",(E19*H19/1000*'Reporting Year &amp; Inflation Adj.'!$F$9),(E19*I19/1000*'Reporting Year &amp; Inflation Adj.'!$F$9))),"")</calculatedColumnFormula>
    </tableColumn>
    <tableColumn id="14" xr3:uid="{8BE9B9EA-A5D8-44DF-AD13-3CCF1D0697A8}" name="Supply Chain Emission Factors without Margins_x000a_(kg CO2e/2024 USD)" dataDxfId="129" dataCellStyle="Comma"/>
    <tableColumn id="15" xr3:uid="{82947D7E-C4A4-477E-80ED-4B9834573225}" name="Supply Chain Emission Factors _x000a_with Margins _x000a_(kg CO2e/2024 USD)" dataDxfId="128"/>
    <tableColumn id="16" xr3:uid="{7CE44087-DA5D-4C2D-90AC-9F1A5B6DFDAE}" name="Margin Percent" dataDxfId="127" dataCellStyle="Percent"/>
    <tableColumn id="1" xr3:uid="{8AC632C7-8D0E-4F32-9EE9-E3D72A7F6F68}" name="Reference USEEIO Code" dataDxfId="126"/>
    <tableColumn id="3" xr3:uid="{44A45962-CBE9-4B3A-B20F-FBB45B1D00AD}" name="Commodity Description" dataDxfId="125"/>
    <tableColumn id="4" xr3:uid="{C35B7BC5-EAC7-4D89-BD68-51B608632A7C}" name="Category" dataDxfId="124"/>
    <tableColumn id="5" xr3:uid="{6C23A80E-5225-4B9D-BA5D-B004957232F7}" name="Sub-category" dataDxfId="123"/>
    <tableColumn id="6" xr3:uid="{3E56F4AD-2A0F-4E92-89D0-EAFCA3853A32}" name="Supply Chain Emission Factors without Margins (kg CO2e/USD)" dataDxfId="122" dataCellStyle="Comma"/>
    <tableColumn id="7" xr3:uid="{29FC3CB1-02F9-4035-95D1-952FD9BC9E18}" name="Margins of Supply Chain Emission Factors (kg CO2e/USD)" dataDxfId="121" dataCellStyle="Comma"/>
    <tableColumn id="8" xr3:uid="{8574880A-20EE-43EE-9C08-E862BDD05FB9}" name="Supply Chain Emission Factors with Margins (kg CO2e/USD)" dataDxfId="120" dataCellStyle="Comma"/>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5479FF66-BC90-408E-B5D4-B1A6F7C3C76B}" name="Glass" displayName="Glass" ref="N48:N51" totalsRowShown="0" headerRowDxfId="74" dataDxfId="73" tableBorderDxfId="72">
  <autoFilter ref="N48:N51" xr:uid="{00000000-0009-0000-0100-000008000000}"/>
  <tableColumns count="1">
    <tableColumn id="1" xr3:uid="{5916C168-BB17-4B28-B7E3-98232C5AB57F}" name="Glass" dataDxfId="71"/>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F80C0DCB-1DD4-42BE-B33B-C3339A6E8004}" name="Short" displayName="Short" ref="AD11:AD12" totalsRowShown="0" headerRowDxfId="70" dataDxfId="69" tableBorderDxfId="68">
  <autoFilter ref="AD11:AD12" xr:uid="{3DFFBC8E-2180-4427-8B23-06BBF970AC64}"/>
  <tableColumns count="1">
    <tableColumn id="1" xr3:uid="{D85100E4-BC8C-42C5-AFE4-A6127CF0941E}" name="Short" dataDxfId="67"/>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DA41693B-3018-4907-B7F1-80DDC2F7BC32}" name="Medium" displayName="Medium" ref="AD14:AD17" totalsRowShown="0" headerRowDxfId="66" dataDxfId="65" tableBorderDxfId="64">
  <autoFilter ref="AD14:AD17" xr:uid="{D81B825D-4911-460F-A4A4-344BF9646DE2}"/>
  <tableColumns count="1">
    <tableColumn id="1" xr3:uid="{E070BC90-A1C2-415D-85F3-4E8F3A48460B}" name="Medium" dataDxfId="63"/>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B1B74BA5-1921-4F2F-AB72-9707E742EEEA}" name="Long" displayName="Long" ref="AD19:AD24" totalsRowShown="0" headerRowDxfId="62" dataDxfId="61" tableBorderDxfId="60">
  <autoFilter ref="AD19:AD24" xr:uid="{718211F7-E99A-45E7-93DE-EF4B222014E0}"/>
  <tableColumns count="1">
    <tableColumn id="1" xr3:uid="{D1DA4542-1CDA-4732-9EB0-7ACC13E649CA}" name="Long" dataDxfId="59"/>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D521AE41-BE76-4C9B-8304-0C949364154F}" name="Bus" displayName="Bus" ref="AF12:AF16" totalsRowShown="0" headerRowDxfId="58" dataDxfId="56" headerRowBorderDxfId="57" tableBorderDxfId="55" totalsRowBorderDxfId="54">
  <autoFilter ref="AF12:AF16" xr:uid="{D84C321F-AA44-455A-976C-C42D08E98D78}"/>
  <tableColumns count="1">
    <tableColumn id="1" xr3:uid="{41E3A71F-9B7B-40B6-8E8D-6A2506FD199F}" name="Bus" dataDxfId="53"/>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364688D9-F4B2-4901-A8AB-5032CB74F1C0}" name="Motorbike" displayName="Motorbike" ref="AF29:AF33" totalsRowShown="0" headerRowDxfId="52" dataDxfId="50" headerRowBorderDxfId="51" tableBorderDxfId="49" totalsRowBorderDxfId="48">
  <autoFilter ref="AF29:AF33" xr:uid="{3F3F5EF1-00D0-4A38-8111-0171A71A6404}"/>
  <tableColumns count="1">
    <tableColumn id="1" xr3:uid="{90A0DDE0-49E8-434C-8443-6D5DBAA073D2}" name="Motorbike" dataDxfId="47"/>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3EA20BF3-8874-4E01-9A98-C827F19F8AEB}" name="Rail" displayName="Rail" ref="AF35:AF39" totalsRowShown="0" headerRowDxfId="46" dataDxfId="44" headerRowBorderDxfId="45" tableBorderDxfId="43" totalsRowBorderDxfId="42">
  <autoFilter ref="AF35:AF39" xr:uid="{28DD612A-44A3-49FD-87CA-267C75758F28}"/>
  <tableColumns count="1">
    <tableColumn id="1" xr3:uid="{CCFAB8BA-D112-4645-9150-CD5E37450F86}" name="Rail" dataDxfId="41"/>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E6C907B3-B8C8-4B1C-93D0-0077E4D81224}" name="Taxis" displayName="Taxis" ref="AF41:AF43" totalsRowShown="0" headerRowDxfId="40" dataDxfId="38" headerRowBorderDxfId="39" tableBorderDxfId="37" totalsRowBorderDxfId="36">
  <autoFilter ref="AF41:AF43" xr:uid="{AB12DF87-7C9F-45B8-A975-5DC3027C2287}"/>
  <tableColumns count="1">
    <tableColumn id="1" xr3:uid="{299B4E28-78F0-48B0-BC2F-53E5B06E3475}" name="Taxis" dataDxfId="35"/>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F6F079E3-E074-4FED-9BEE-1D9B3D6DAC05}" name="Cars_by_market_segment" displayName="Cars_by_market_segment" ref="AF18:AF27" totalsRowShown="0" headerRowDxfId="34" dataDxfId="33" tableBorderDxfId="32">
  <autoFilter ref="AF18:AF27" xr:uid="{62A61785-1845-44E5-B8A8-11B1C32E508C}"/>
  <tableColumns count="1">
    <tableColumn id="1" xr3:uid="{1A12C729-F249-4595-9085-B37844A1D28E}" name="Cars_by_market_segment" dataDxfId="31"/>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6C1BBDCB-7220-42EE-AF0F-3615C0EE3747}" name="Market_fuel_types" displayName="Market_fuel_types" ref="AF45:AF50" totalsRowShown="0" headerRowDxfId="30" dataDxfId="29" tableBorderDxfId="28">
  <autoFilter ref="AF45:AF50" xr:uid="{911DCB54-4EE9-444B-A73A-FB537C60DE04}"/>
  <tableColumns count="1">
    <tableColumn id="1" xr3:uid="{139D5E50-3F8B-4E1E-BAE4-FD280B0DC278}" name="Market_fuel_types" dataDxfId="27"/>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BFE6D319-6F8B-4E94-8FB6-CF0FB9D26B54}" name="Table31021" displayName="Table31021" ref="C18:Q237" totalsRowShown="0" headerRowDxfId="119" dataDxfId="118">
  <autoFilter ref="C18:Q237" xr:uid="{8F76A333-D6C9-4E64-9795-E3C672D50ECF}"/>
  <tableColumns count="15">
    <tableColumn id="2" xr3:uid="{62A3D3BB-B963-45F1-924B-A88FEB00FC0E}" name="Commodity Name" dataDxfId="117"/>
    <tableColumn id="10" xr3:uid="{1690C6FC-376E-447B-ADC4-18BDB18039AE}" name="Item Description (optional)" dataDxfId="116"/>
    <tableColumn id="11" xr3:uid="{30CBAC53-07A7-4FDB-ACDE-88E2E782039F}" name="Annual procurement_x000a_spend ($)" dataDxfId="115"/>
    <tableColumn id="12" xr3:uid="{553C983F-5658-45AC-9C06-FDCB4119163D}" name="Procurement via: Wholesaler /Retailer/ Distributor or Direct-from-Manufacturer?_x000a_Leave Blank if Unknown" dataDxfId="114"/>
    <tableColumn id="13" xr3:uid="{A8622AB0-84CB-43DE-9A67-B55F952FE696}" name="Emissions (MTCO2e)" dataDxfId="113">
      <calculatedColumnFormula>IFERROR(IF(E19="","",IF(F19="Direct-from-manufacturer",(E19*H19/1000*'Reporting Year &amp; Inflation Adj.'!$F$9),(E19*I19/1000*'Reporting Year &amp; Inflation Adj.'!$F$9))),"")</calculatedColumnFormula>
    </tableColumn>
    <tableColumn id="14" xr3:uid="{DE4D13E0-7872-4D83-9C69-5C06ADCB8244}" name="Supply Chain Emission Factors without Margins_x000a_(kg CO2e/2022 USD)" dataDxfId="112" dataCellStyle="Comma"/>
    <tableColumn id="15" xr3:uid="{0E144341-FDF9-4CE5-852D-853686769694}" name="Supply Chain Emission Factors _x000a_with Margins _x000a_(kg CO2e/2022 USD)" dataDxfId="111"/>
    <tableColumn id="16" xr3:uid="{23BFE329-4E36-4A0E-B904-2AAFA8E212DF}" name="Margin Percent" dataDxfId="110" dataCellStyle="Percent"/>
    <tableColumn id="1" xr3:uid="{1C50BCAD-2EAA-4F10-BBEC-660490DA03EF}" name="Reference USEEIO Code" dataDxfId="109"/>
    <tableColumn id="3" xr3:uid="{4B021B0C-A696-4583-B127-FC338FDF3D9F}" name="Commodity Description" dataDxfId="108"/>
    <tableColumn id="4" xr3:uid="{40196A27-121F-440B-9841-B3DA95F2A443}" name="Category" dataDxfId="107"/>
    <tableColumn id="5" xr3:uid="{285853E2-153C-4226-B7E0-8856FE7A1DA9}" name="Sub-category" dataDxfId="106"/>
    <tableColumn id="6" xr3:uid="{A00B282B-BC33-4028-B2F3-DF0132F57384}" name="Supply Chain Emission Factors without Margins (kg CO2e/USD)" dataDxfId="105" dataCellStyle="Comma"/>
    <tableColumn id="7" xr3:uid="{5A3316A5-9CC5-4B27-8024-FBB687C8F2EB}" name="Margins of Supply Chain Emission Factors (kg CO2e/USD)" dataDxfId="104" dataCellStyle="Comma"/>
    <tableColumn id="8" xr3:uid="{2090D300-DD67-4631-836D-848A26963316}" name="Supply Chain Emission Factors with Margins (kg CO2e/USD)" dataDxfId="103" dataCellStyle="Comma"/>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B44C19E-10AF-4297-89BA-38FA8C41C423}" name="Mixed_Paper" displayName="Mixed_Paper" ref="N14:N17" totalsRowShown="0" headerRowDxfId="102" dataDxfId="101" tableBorderDxfId="100">
  <autoFilter ref="N14:N17" xr:uid="{00000000-0009-0000-0100-000001000000}"/>
  <tableColumns count="1">
    <tableColumn id="1" xr3:uid="{1CDA2D4D-4ECB-4787-A773-6D0485B2EB3B}" name="Mixed_Paper" dataDxfId="99"/>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3A79830-C7B1-4B41-A0BB-E72D1BF02ED0}" name="Mixed_Metals" displayName="Mixed_Metals" ref="N19:N22" totalsRowShown="0" headerRowDxfId="98" dataDxfId="97" tableBorderDxfId="96">
  <autoFilter ref="N19:N22" xr:uid="{00000000-0009-0000-0100-000002000000}"/>
  <tableColumns count="1">
    <tableColumn id="1" xr3:uid="{9D511564-3D90-4742-A733-581A16BB4CE0}" name="Mixed_Metals" dataDxfId="95"/>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80713E04-FC80-43C9-AAF9-590491B0EB16}" name="Mixed_Plastics" displayName="Mixed_Plastics" ref="N24:N27" totalsRowShown="0" headerRowDxfId="94" dataDxfId="93" tableBorderDxfId="92">
  <autoFilter ref="N24:N27" xr:uid="{00000000-0009-0000-0100-000003000000}"/>
  <tableColumns count="1">
    <tableColumn id="1" xr3:uid="{912EC42C-D2FB-4306-BC1B-662B173E53E6}" name="Mixed_Plastics" dataDxfId="91"/>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C200DE10-810F-4376-BC8B-83AB44E73788}" name="Mixed_Recyclables" displayName="Mixed_Recyclables" ref="N29:N32" totalsRowShown="0" headerRowDxfId="90" dataDxfId="89" tableBorderDxfId="88">
  <autoFilter ref="N29:N32" xr:uid="{00000000-0009-0000-0100-000004000000}"/>
  <tableColumns count="1">
    <tableColumn id="1" xr3:uid="{BDB275D2-8B81-4793-9AC7-3DBBF384B71E}" name="Mixed_Recyclables" dataDxfId="87"/>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F4521D76-50EB-43FD-BD71-4661C7312876}" name="Mixed_Organics" displayName="Mixed_Organics" ref="N34:N37" totalsRowShown="0" headerRowDxfId="86" dataDxfId="85" tableBorderDxfId="84">
  <autoFilter ref="N34:N37" xr:uid="{00000000-0009-0000-0100-000005000000}"/>
  <tableColumns count="1">
    <tableColumn id="1" xr3:uid="{9923F1EA-B472-4CED-AC7C-A3FC7B2CD943}" name="Mixed_Organics" dataDxfId="83"/>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5076B02-88E0-4A6F-B76D-70B0001AB486}" name="Mixed_MSW" displayName="Mixed_MSW" ref="N39:N41" totalsRowShown="0" headerRowDxfId="82" dataDxfId="81" tableBorderDxfId="80">
  <autoFilter ref="N39:N41" xr:uid="{00000000-0009-0000-0100-000006000000}"/>
  <tableColumns count="1">
    <tableColumn id="1" xr3:uid="{78546598-2EDC-4358-BCBA-6ED3B17AA397}" name="Mixed_MSW" dataDxfId="79"/>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D6A24A3D-38C4-498D-8488-7B27E34DA129}" name="Mixed_Electronics" displayName="Mixed_Electronics" ref="N43:N46" totalsRowShown="0" headerRowDxfId="78" dataDxfId="77" tableBorderDxfId="76">
  <autoFilter ref="N43:N46" xr:uid="{00000000-0009-0000-0100-000007000000}"/>
  <tableColumns count="1">
    <tableColumn id="1" xr3:uid="{4BB569BA-4199-4973-B7ED-E93AB9E03D68}" name="Mixed_Electronics" dataDxfId="75"/>
  </tableColumns>
  <tableStyleInfo name="TableStyleMedium2" showFirstColumn="0" showLastColumn="0" showRowStripes="1" showColumnStripes="0"/>
</table>
</file>

<file path=xl/theme/theme1.xml><?xml version="1.0" encoding="utf-8"?>
<a:theme xmlns:a="http://schemas.openxmlformats.org/drawingml/2006/main" name="ENGIE Impact PPT 2021">
  <a:themeElements>
    <a:clrScheme name="Custom 2">
      <a:dk1>
        <a:srgbClr val="343A3C"/>
      </a:dk1>
      <a:lt1>
        <a:srgbClr val="FFFFFF"/>
      </a:lt1>
      <a:dk2>
        <a:srgbClr val="00AAFF"/>
      </a:dk2>
      <a:lt2>
        <a:srgbClr val="E1E3E3"/>
      </a:lt2>
      <a:accent1>
        <a:srgbClr val="00AAFF"/>
      </a:accent1>
      <a:accent2>
        <a:srgbClr val="1ED283"/>
      </a:accent2>
      <a:accent3>
        <a:srgbClr val="001FA0"/>
      </a:accent3>
      <a:accent4>
        <a:srgbClr val="B32765"/>
      </a:accent4>
      <a:accent5>
        <a:srgbClr val="FD5064"/>
      </a:accent5>
      <a:accent6>
        <a:srgbClr val="FFA101"/>
      </a:accent6>
      <a:hlink>
        <a:srgbClr val="00AAFF"/>
      </a:hlink>
      <a:folHlink>
        <a:srgbClr val="00AAFF"/>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chemeClr val="bg1"/>
        </a:solidFill>
        <a:ln w="190500">
          <a:gradFill>
            <a:gsLst>
              <a:gs pos="0">
                <a:srgbClr val="00BCFD"/>
              </a:gs>
              <a:gs pos="100000">
                <a:srgbClr val="23D2B5"/>
              </a:gs>
            </a:gsLst>
            <a:lin ang="2700000" scaled="0"/>
          </a:gradFill>
        </a:ln>
      </a:spPr>
      <a:bodyPr rtlCol="0" anchor="ctr">
        <a:noAutofit/>
      </a:bodyPr>
      <a:lstStyle>
        <a:defPPr algn="ctr">
          <a:defRPr/>
        </a:defPPr>
      </a:lstStyle>
      <a:style>
        <a:lnRef idx="2">
          <a:schemeClr val="accent1">
            <a:shade val="50000"/>
          </a:schemeClr>
        </a:lnRef>
        <a:fillRef idx="1">
          <a:schemeClr val="accent1"/>
        </a:fillRef>
        <a:effectRef idx="0">
          <a:schemeClr val="accent1"/>
        </a:effectRef>
        <a:fontRef idx="minor">
          <a:schemeClr val="lt1"/>
        </a:fontRef>
      </a:style>
    </a:spDef>
    <a:txDef>
      <a:spPr>
        <a:noFill/>
      </a:spPr>
      <a:bodyPr wrap="square" lIns="0" tIns="0" rIns="0" bIns="0" rtlCol="0">
        <a:spAutoFit/>
      </a:bodyPr>
      <a:lstStyle>
        <a:defPPr marL="228600" indent="-228600" algn="l">
          <a:lnSpc>
            <a:spcPct val="112000"/>
          </a:lnSpc>
          <a:spcBef>
            <a:spcPts val="1000"/>
          </a:spcBef>
          <a:buClr>
            <a:schemeClr val="tx2"/>
          </a:buClr>
          <a:buFont typeface="Arial" panose="020B0604020202020204" pitchFamily="34" charset="0"/>
          <a:buChar char="•"/>
          <a:defRPr dirty="0" smtClean="0"/>
        </a:defPPr>
      </a:lstStyle>
    </a:txDef>
  </a:objectDefaults>
  <a:extraClrSchemeLst/>
  <a:extLst>
    <a:ext uri="{05A4C25C-085E-4340-85A3-A5531E510DB2}">
      <thm15:themeFamily xmlns:thm15="http://schemas.microsoft.com/office/thememl/2012/main" name="ENGIE Impact PPT 2021" id="{5692A257-57F0-DC45-94CD-F0B48EC33670}" vid="{6EAACAE7-78F6-A840-A73F-DB854B2F7A76}"/>
    </a:ext>
  </a:extLst>
</a:theme>
</file>

<file path=xl/threadedComments/threadedComment1.xml><?xml version="1.0" encoding="utf-8"?>
<ThreadedComments xmlns="http://schemas.microsoft.com/office/spreadsheetml/2018/threadedcomments" xmlns:x="http://schemas.openxmlformats.org/spreadsheetml/2006/main">
  <threadedComment ref="C1" dT="2026-04-28T16:25:09.17" personId="{9E7A2796-492C-40DC-9668-D8829F11E083}" id="{07AD35A5-A19F-4BBD-98D4-49C564150536}">
    <text>@BOTTOMLEY J (ENGIE Impact) for Cat 1 and 2, we reference cell F9 in the ‘Reporting Year &amp; Inflation Adj.’ tab. How is the inflation adjustment factor being incorporated for Cat 15?</text>
    <mentions>
      <mention mentionpersonId="{EB2921B0-3FA5-4B37-9F85-672CD6B1808A}" mentionId="{26DEF9E2-4D64-4B3F-A326-61B314C51984}" startIndex="0" length="27"/>
    </mentions>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hyperlink" Target="https://www.epa.gov/egrid/summary-data" TargetMode="External"/><Relationship Id="rId13" Type="http://schemas.openxmlformats.org/officeDocument/2006/relationships/hyperlink" Target="https://www.ipcc-nggip.iges.or.jp/public/2006gl/pdf/2_Volume2/V2_2_Ch2_Stationary_Combustion.pdf" TargetMode="External"/><Relationship Id="rId18" Type="http://schemas.openxmlformats.org/officeDocument/2006/relationships/hyperlink" Target="https://www.thelancet.com/journals/lanplh/article/PIIS2542-5196(23)00084-0/fulltext" TargetMode="External"/><Relationship Id="rId3" Type="http://schemas.openxmlformats.org/officeDocument/2006/relationships/hyperlink" Target="https://ghgprotocol.org/calculation-tools" TargetMode="External"/><Relationship Id="rId7" Type="http://schemas.openxmlformats.org/officeDocument/2006/relationships/hyperlink" Target="https://www.epa.gov/ghgemissions/understanding-global-warming-potentials" TargetMode="External"/><Relationship Id="rId12" Type="http://schemas.openxmlformats.org/officeDocument/2006/relationships/hyperlink" Target="https://www.ipcc-nggip.iges.or.jp/public/2006gl/pdf/2_Volume2/V2_1_Ch1_Introduction.pdf%20%3c--link%20to%20English%20version,%20pg%2018%20of%20pdf" TargetMode="External"/><Relationship Id="rId17" Type="http://schemas.openxmlformats.org/officeDocument/2006/relationships/hyperlink" Target="https://www.epa.gov/egrid/summary-data" TargetMode="External"/><Relationship Id="rId2" Type="http://schemas.openxmlformats.org/officeDocument/2006/relationships/hyperlink" Target="https://www.ipcc.ch/publications_and_data/ar4/wg1/en/ch2s2-10-2.html" TargetMode="External"/><Relationship Id="rId16" Type="http://schemas.openxmlformats.org/officeDocument/2006/relationships/hyperlink" Target="https://www.unenvironment.org/ozonaction/gwp-odp-calculator" TargetMode="External"/><Relationship Id="rId20" Type="http://schemas.openxmlformats.org/officeDocument/2006/relationships/drawing" Target="../drawings/drawing8.xml"/><Relationship Id="rId1" Type="http://schemas.openxmlformats.org/officeDocument/2006/relationships/hyperlink" Target="https://ghgprotocol.org/calculation-tools" TargetMode="External"/><Relationship Id="rId6" Type="http://schemas.openxmlformats.org/officeDocument/2006/relationships/hyperlink" Target="https://www.eia.gov/energyexplained/biofuels/biodiesel-rd-other-use-supply.php" TargetMode="External"/><Relationship Id="rId11" Type="http://schemas.openxmlformats.org/officeDocument/2006/relationships/hyperlink" Target="http://www.ipcc-nggip.iges.or.jp/public/2006gl/spanish/index.html" TargetMode="External"/><Relationship Id="rId5" Type="http://schemas.openxmlformats.org/officeDocument/2006/relationships/hyperlink" Target="https://www.eia.gov/energyexplained/biofuels/ethanol-use.php" TargetMode="External"/><Relationship Id="rId15" Type="http://schemas.openxmlformats.org/officeDocument/2006/relationships/hyperlink" Target="http://www.ipcc-nggip.iges.or.jp/public/2006gl/spanish/index.html" TargetMode="External"/><Relationship Id="rId10" Type="http://schemas.openxmlformats.org/officeDocument/2006/relationships/hyperlink" Target="https://ghgprotocol.org/sites/default/files/2024-08/Global-Warming-Potential-Values%20%28August%202024%29.pdf" TargetMode="External"/><Relationship Id="rId19" Type="http://schemas.openxmlformats.org/officeDocument/2006/relationships/printerSettings" Target="../printerSettings/printerSettings11.bin"/><Relationship Id="rId4" Type="http://schemas.openxmlformats.org/officeDocument/2006/relationships/hyperlink" Target="https://www.bochealthcare.co.uk/en/images/HLC_506810-MGDS%20Medical%20carbon%20dioxide%28web%29_tcm409-61147.pdf" TargetMode="External"/><Relationship Id="rId9" Type="http://schemas.openxmlformats.org/officeDocument/2006/relationships/hyperlink" Target="https://www.ghgprotocol.org/sites/default/files/ghgp/Global-Warming-Potential-Values%20%28Feb%2016%202016%29_1.pdf" TargetMode="External"/><Relationship Id="rId14" Type="http://schemas.openxmlformats.org/officeDocument/2006/relationships/hyperlink" Target="https://journals.lww.com/anesthesia-analgesia/fulltext/2012/05000/life_cycle_greenhouse_gas_emissions_of_anesthetic.25.aspx" TargetMode="Externa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3.bin"/><Relationship Id="rId1" Type="http://schemas.openxmlformats.org/officeDocument/2006/relationships/hyperlink" Target="https://www.bls.gov/data/inflation_calculator.htm"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semver.org/"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table" Target="../tables/table1.xml"/><Relationship Id="rId1" Type="http://schemas.openxmlformats.org/officeDocument/2006/relationships/drawing" Target="../drawings/drawing13.xml"/></Relationships>
</file>

<file path=xl/worksheets/_rels/sheet18.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table" Target="../tables/table2.xml"/><Relationship Id="rId1" Type="http://schemas.openxmlformats.org/officeDocument/2006/relationships/drawing" Target="../drawings/drawing14.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3.xml.rels><?xml version="1.0" encoding="UTF-8" standalone="yes"?>
<Relationships xmlns="http://schemas.openxmlformats.org/package/2006/relationships"><Relationship Id="rId3" Type="http://schemas.openxmlformats.org/officeDocument/2006/relationships/hyperlink" Target="https://practicegreenhealth.org/membership" TargetMode="External"/><Relationship Id="rId2" Type="http://schemas.openxmlformats.org/officeDocument/2006/relationships/hyperlink" Target="https://ghgprotocol.org/" TargetMode="External"/><Relationship Id="rId1" Type="http://schemas.openxmlformats.org/officeDocument/2006/relationships/hyperlink" Target="https://www.epa.gov/ghgemissions/overview-greenhouse-gases" TargetMode="External"/><Relationship Id="rId6" Type="http://schemas.openxmlformats.org/officeDocument/2006/relationships/drawing" Target="../drawings/drawing2.xml"/><Relationship Id="rId5" Type="http://schemas.openxmlformats.org/officeDocument/2006/relationships/printerSettings" Target="../printerSettings/printerSettings3.bin"/><Relationship Id="rId4" Type="http://schemas.openxmlformats.org/officeDocument/2006/relationships/hyperlink" Target="https://www.epa.gov/egrid/power-profiler" TargetMode="Externa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8" Type="http://schemas.openxmlformats.org/officeDocument/2006/relationships/hyperlink" Target="https://www.epa.gov/climateleadership/ghg-emission-factors-hub." TargetMode="External"/><Relationship Id="rId13" Type="http://schemas.openxmlformats.org/officeDocument/2006/relationships/hyperlink" Target="https://www.gov.uk/government/collections/government-conversion-factors-for-company-reporting" TargetMode="External"/><Relationship Id="rId3" Type="http://schemas.openxmlformats.org/officeDocument/2006/relationships/hyperlink" Target="https://www.gov.uk/government/collections/government-conversion-factors-for-company-reporting" TargetMode="External"/><Relationship Id="rId7" Type="http://schemas.openxmlformats.org/officeDocument/2006/relationships/hyperlink" Target="https://www.eia.gov/consumption/commercial/data/2018/" TargetMode="External"/><Relationship Id="rId12" Type="http://schemas.openxmlformats.org/officeDocument/2006/relationships/hyperlink" Target="https://afdc.energy.gov/vehicle-registration" TargetMode="External"/><Relationship Id="rId2" Type="http://schemas.openxmlformats.org/officeDocument/2006/relationships/hyperlink" Target="https://ghgprotocol.org/sites/default/files/standards/Scope3_Calculation_Guidance_0.pdf" TargetMode="External"/><Relationship Id="rId16" Type="http://schemas.openxmlformats.org/officeDocument/2006/relationships/drawing" Target="../drawings/drawing27.xml"/><Relationship Id="rId1" Type="http://schemas.openxmlformats.org/officeDocument/2006/relationships/hyperlink" Target="http://ghgprotocol.org/sites/default/files/standards/Corporate-Value-Chain-Accounting-Reporing-Standard_041613_2.pdf" TargetMode="External"/><Relationship Id="rId6" Type="http://schemas.openxmlformats.org/officeDocument/2006/relationships/hyperlink" Target="https://www.bts.gov/browse-statistical-products-and-data/state-transportation-statistics/commute-mode" TargetMode="External"/><Relationship Id="rId11" Type="http://schemas.openxmlformats.org/officeDocument/2006/relationships/hyperlink" Target="https://sustainability.wm.com/esg-hub/company/wm-healthcare-solutions/" TargetMode="External"/><Relationship Id="rId5" Type="http://schemas.openxmlformats.org/officeDocument/2006/relationships/hyperlink" Target="https://www.gov.uk/government/collections/government-conversion-factors-for-company-reporting" TargetMode="External"/><Relationship Id="rId15" Type="http://schemas.openxmlformats.org/officeDocument/2006/relationships/printerSettings" Target="../printerSettings/printerSettings23.bin"/><Relationship Id="rId10" Type="http://schemas.openxmlformats.org/officeDocument/2006/relationships/hyperlink" Target="https://ghgprotocol.org/sites/default/files/2022-12/Required%20gases%20and%20GWP%20values_0.pdf" TargetMode="External"/><Relationship Id="rId4" Type="http://schemas.openxmlformats.org/officeDocument/2006/relationships/hyperlink" Target="https://www.epa.gov/climateleadership/ghg-emission-factors-hub" TargetMode="External"/><Relationship Id="rId9" Type="http://schemas.openxmlformats.org/officeDocument/2006/relationships/hyperlink" Target="https://www.epa.gov/egrid" TargetMode="External"/><Relationship Id="rId14" Type="http://schemas.openxmlformats.org/officeDocument/2006/relationships/hyperlink" Target="https://cornerstonedata.org/" TargetMode="External"/></Relationships>
</file>

<file path=xl/worksheets/_rels/sheet34.xml.rels><?xml version="1.0" encoding="UTF-8" standalone="yes"?>
<Relationships xmlns="http://schemas.openxmlformats.org/package/2006/relationships"><Relationship Id="rId8" Type="http://schemas.openxmlformats.org/officeDocument/2006/relationships/table" Target="../tables/table6.xml"/><Relationship Id="rId13" Type="http://schemas.openxmlformats.org/officeDocument/2006/relationships/comments" Target="../comments3.xml"/><Relationship Id="rId3" Type="http://schemas.openxmlformats.org/officeDocument/2006/relationships/printerSettings" Target="../printerSettings/printerSettings24.bin"/><Relationship Id="rId7" Type="http://schemas.openxmlformats.org/officeDocument/2006/relationships/table" Target="../tables/table5.xml"/><Relationship Id="rId12" Type="http://schemas.openxmlformats.org/officeDocument/2006/relationships/table" Target="../tables/table10.xml"/><Relationship Id="rId2" Type="http://schemas.openxmlformats.org/officeDocument/2006/relationships/hyperlink" Target="https://portfoliomanager.energystar.gov/pdf/reference/Thermal%20Conversions.pdf" TargetMode="External"/><Relationship Id="rId1" Type="http://schemas.openxmlformats.org/officeDocument/2006/relationships/hyperlink" Target="https://www.epa.gov/system/files/other-files/2025-01/ghg-emission-factors-hub-2025.xlsx" TargetMode="External"/><Relationship Id="rId6" Type="http://schemas.openxmlformats.org/officeDocument/2006/relationships/table" Target="../tables/table4.xml"/><Relationship Id="rId11" Type="http://schemas.openxmlformats.org/officeDocument/2006/relationships/table" Target="../tables/table9.xml"/><Relationship Id="rId5" Type="http://schemas.openxmlformats.org/officeDocument/2006/relationships/table" Target="../tables/table3.xml"/><Relationship Id="rId10" Type="http://schemas.openxmlformats.org/officeDocument/2006/relationships/table" Target="../tables/table8.xml"/><Relationship Id="rId4" Type="http://schemas.openxmlformats.org/officeDocument/2006/relationships/vmlDrawing" Target="../drawings/vmlDrawing8.vml"/><Relationship Id="rId9" Type="http://schemas.openxmlformats.org/officeDocument/2006/relationships/table" Target="../tables/table7.xml"/></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hyperlink" Target="https://www.bts.gov/browse-statistical-products-and-data/state-transportation-statistics/commute-mode" TargetMode="External"/><Relationship Id="rId1" Type="http://schemas.openxmlformats.org/officeDocument/2006/relationships/hyperlink" Target="https://www.streetlightdata.com/wp-content/uploads/2018/03/Commutes-Across-America_180201.pdf" TargetMode="External"/></Relationships>
</file>

<file path=xl/worksheets/_rels/sheet36.xml.rels><?xml version="1.0" encoding="UTF-8" standalone="yes"?>
<Relationships xmlns="http://schemas.openxmlformats.org/package/2006/relationships"><Relationship Id="rId2" Type="http://schemas.openxmlformats.org/officeDocument/2006/relationships/hyperlink" Target="https://zenodo.org/records/18968658/files/egrid2024_data_metric.xlsx?download=1" TargetMode="External"/><Relationship Id="rId1" Type="http://schemas.openxmlformats.org/officeDocument/2006/relationships/hyperlink" Target="https://cornerstonedata.org/blog/egrid2024" TargetMode="External"/></Relationships>
</file>

<file path=xl/worksheets/_rels/sheet37.xml.rels><?xml version="1.0" encoding="UTF-8" standalone="yes"?>
<Relationships xmlns="http://schemas.openxmlformats.org/package/2006/relationships"><Relationship Id="rId8" Type="http://schemas.openxmlformats.org/officeDocument/2006/relationships/vmlDrawing" Target="../drawings/vmlDrawing9.vml"/><Relationship Id="rId3" Type="http://schemas.openxmlformats.org/officeDocument/2006/relationships/hyperlink" Target="https://www.eia.gov/consumption/commercial/data/2018/index.php?view=consumption" TargetMode="External"/><Relationship Id="rId7" Type="http://schemas.openxmlformats.org/officeDocument/2006/relationships/printerSettings" Target="../printerSettings/printerSettings26.bin"/><Relationship Id="rId2" Type="http://schemas.openxmlformats.org/officeDocument/2006/relationships/hyperlink" Target="https://www.eia.gov/consumption/commercial/data/2018/index.php?view=consumption" TargetMode="External"/><Relationship Id="rId1" Type="http://schemas.openxmlformats.org/officeDocument/2006/relationships/hyperlink" Target="https://www.epa.gov/system/files/documents/2022-04/ghg_emission_factors_hub.pdf" TargetMode="External"/><Relationship Id="rId6" Type="http://schemas.openxmlformats.org/officeDocument/2006/relationships/hyperlink" Target="https://portfoliomanager.energystar.gov/pdf/reference/Thermal%20Conversions.pdf" TargetMode="External"/><Relationship Id="rId5" Type="http://schemas.openxmlformats.org/officeDocument/2006/relationships/hyperlink" Target="https://www.eia.gov/energyexplained/natural-gas/where-our-natural-gas-comes-from.php" TargetMode="External"/><Relationship Id="rId4" Type="http://schemas.openxmlformats.org/officeDocument/2006/relationships/hyperlink" Target="https://www.eia.gov/consumption/commercial/data/2018/index.php?view=consumption" TargetMode="External"/><Relationship Id="rId9" Type="http://schemas.openxmlformats.org/officeDocument/2006/relationships/comments" Target="../comments4.xml"/></Relationships>
</file>

<file path=xl/worksheets/_rels/sheet38.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table" Target="../tables/table11.xml"/><Relationship Id="rId1" Type="http://schemas.openxmlformats.org/officeDocument/2006/relationships/hyperlink" Target="https://afdc.energy.gov/vehicle-registration" TargetMode="External"/><Relationship Id="rId6" Type="http://schemas.openxmlformats.org/officeDocument/2006/relationships/table" Target="../tables/table15.xml"/><Relationship Id="rId5" Type="http://schemas.openxmlformats.org/officeDocument/2006/relationships/table" Target="../tables/table14.xml"/><Relationship Id="rId10" Type="http://schemas.openxmlformats.org/officeDocument/2006/relationships/table" Target="../tables/table19.xml"/><Relationship Id="rId4" Type="http://schemas.openxmlformats.org/officeDocument/2006/relationships/table" Target="../tables/table13.xml"/><Relationship Id="rId9" Type="http://schemas.openxmlformats.org/officeDocument/2006/relationships/table" Target="../tables/table18.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27.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43.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hyperlink" Target="https://www.epa.gov/climateleadership/determine-organizational-boundaries" TargetMode="Externa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6">
    <tabColor rgb="FF94E494"/>
  </sheetPr>
  <dimension ref="A1:M58"/>
  <sheetViews>
    <sheetView zoomScale="120" zoomScaleNormal="120" workbookViewId="0">
      <selection activeCell="C4" sqref="C4"/>
    </sheetView>
  </sheetViews>
  <sheetFormatPr defaultColWidth="8" defaultRowHeight="14.25"/>
  <cols>
    <col min="2" max="2" width="55.375" customWidth="1"/>
    <col min="3" max="3" width="22.5" customWidth="1"/>
    <col min="8" max="8" width="46.5" customWidth="1"/>
    <col min="11" max="11" width="56.625" customWidth="1"/>
    <col min="13" max="13" width="9.375" customWidth="1"/>
  </cols>
  <sheetData>
    <row r="1" spans="1:11" ht="151.5" customHeight="1">
      <c r="A1" s="16" t="s">
        <v>74</v>
      </c>
      <c r="B1" s="16" t="s">
        <v>75</v>
      </c>
      <c r="C1" s="16" t="s">
        <v>76</v>
      </c>
      <c r="D1" s="16" t="s">
        <v>77</v>
      </c>
      <c r="E1" s="9"/>
      <c r="F1" s="9"/>
      <c r="G1" s="16" t="s">
        <v>78</v>
      </c>
      <c r="H1" s="16" t="s">
        <v>79</v>
      </c>
      <c r="I1" s="16" t="s">
        <v>80</v>
      </c>
      <c r="J1" s="16" t="s">
        <v>81</v>
      </c>
      <c r="K1" s="16" t="s">
        <v>82</v>
      </c>
    </row>
    <row r="2" spans="1:11">
      <c r="A2" s="17" t="s">
        <v>27</v>
      </c>
      <c r="B2" s="17" t="s">
        <v>73</v>
      </c>
      <c r="C2" s="17" t="e">
        <f>VLOOKUP(#REF!,#REF!,5)</f>
        <v>#REF!</v>
      </c>
      <c r="D2" s="17" t="s">
        <v>83</v>
      </c>
      <c r="E2" s="9"/>
      <c r="F2" s="9"/>
      <c r="G2" s="17"/>
      <c r="H2" s="17" t="s">
        <v>84</v>
      </c>
      <c r="I2" s="17" t="s">
        <v>85</v>
      </c>
      <c r="J2" s="17" t="s">
        <v>73</v>
      </c>
      <c r="K2" s="17" t="s">
        <v>29</v>
      </c>
    </row>
    <row r="3" spans="1:11">
      <c r="A3" s="9">
        <v>1</v>
      </c>
      <c r="B3" s="9" t="s">
        <v>86</v>
      </c>
      <c r="C3" s="18" t="e">
        <f>VLOOKUP(C$2&amp;B3,#REF!,2,FALSE)</f>
        <v>#REF!</v>
      </c>
      <c r="D3" s="9">
        <v>1</v>
      </c>
      <c r="E3" s="9"/>
      <c r="F3" s="9"/>
      <c r="G3" s="9">
        <v>1</v>
      </c>
      <c r="H3" s="9" t="s">
        <v>87</v>
      </c>
      <c r="I3" s="18" t="e">
        <f>C3</f>
        <v>#REF!</v>
      </c>
      <c r="J3" s="9">
        <v>1</v>
      </c>
      <c r="K3" s="9"/>
    </row>
    <row r="4" spans="1:11">
      <c r="A4" s="9">
        <v>2</v>
      </c>
      <c r="B4" s="9" t="s">
        <v>88</v>
      </c>
      <c r="C4" s="18" t="e">
        <f>VLOOKUP(C$2&amp;B4,#REF!,2,FALSE)</f>
        <v>#REF!</v>
      </c>
      <c r="D4" s="9"/>
      <c r="E4" s="9"/>
      <c r="F4" s="9"/>
      <c r="G4" s="9">
        <v>2</v>
      </c>
      <c r="H4" s="9" t="s">
        <v>89</v>
      </c>
      <c r="I4" s="18" t="e">
        <f>C5</f>
        <v>#REF!</v>
      </c>
      <c r="J4" s="9">
        <v>3</v>
      </c>
      <c r="K4" s="9"/>
    </row>
    <row r="5" spans="1:11">
      <c r="A5" s="9">
        <v>3</v>
      </c>
      <c r="B5" s="9" t="s">
        <v>90</v>
      </c>
      <c r="C5" s="18" t="e">
        <f>VLOOKUP(C$2&amp;B5,#REF!,2,FALSE)</f>
        <v>#REF!</v>
      </c>
      <c r="D5" s="9">
        <v>2</v>
      </c>
      <c r="E5" s="9"/>
      <c r="F5" s="9"/>
      <c r="G5" s="9">
        <v>3</v>
      </c>
      <c r="H5" s="9" t="s">
        <v>91</v>
      </c>
      <c r="I5" s="18" t="e">
        <f>C6</f>
        <v>#REF!</v>
      </c>
      <c r="J5" s="9">
        <v>4</v>
      </c>
      <c r="K5" s="9"/>
    </row>
    <row r="6" spans="1:11">
      <c r="A6" s="9">
        <v>4</v>
      </c>
      <c r="B6" s="9" t="s">
        <v>92</v>
      </c>
      <c r="C6" s="18" t="e">
        <f>VLOOKUP(C$2&amp;B6,#REF!,2,FALSE)</f>
        <v>#REF!</v>
      </c>
      <c r="D6" s="9">
        <v>3</v>
      </c>
      <c r="E6" s="9"/>
      <c r="F6" s="9"/>
      <c r="G6" s="9">
        <v>4</v>
      </c>
      <c r="H6" s="9" t="s">
        <v>93</v>
      </c>
      <c r="I6" s="18" t="e">
        <f>C7</f>
        <v>#REF!</v>
      </c>
      <c r="J6" s="9">
        <v>5</v>
      </c>
      <c r="K6" s="9"/>
    </row>
    <row r="7" spans="1:11">
      <c r="A7" s="9">
        <v>5</v>
      </c>
      <c r="B7" s="9" t="s">
        <v>94</v>
      </c>
      <c r="C7" s="18" t="e">
        <f>VLOOKUP(C$2&amp;B7,#REF!,2,FALSE)</f>
        <v>#REF!</v>
      </c>
      <c r="D7" s="9">
        <v>4</v>
      </c>
      <c r="E7" s="9"/>
      <c r="F7" s="9"/>
      <c r="G7" s="9">
        <v>5</v>
      </c>
      <c r="H7" s="9" t="s">
        <v>95</v>
      </c>
      <c r="I7" s="18" t="e">
        <f>C8</f>
        <v>#REF!</v>
      </c>
      <c r="J7" s="9">
        <v>6</v>
      </c>
      <c r="K7" s="9"/>
    </row>
    <row r="8" spans="1:11">
      <c r="A8" s="9">
        <v>6</v>
      </c>
      <c r="B8" s="9" t="s">
        <v>96</v>
      </c>
      <c r="C8" s="18" t="e">
        <f>VLOOKUP(C$2&amp;B8,#REF!,2,FALSE)</f>
        <v>#REF!</v>
      </c>
      <c r="D8" s="9" t="s">
        <v>97</v>
      </c>
      <c r="E8" s="9"/>
      <c r="F8" s="9"/>
      <c r="G8" s="9">
        <v>6</v>
      </c>
      <c r="H8" s="9" t="s">
        <v>98</v>
      </c>
      <c r="I8" s="18" t="e">
        <f>AVERAGEIF(C9:C10,"&lt;&gt;0")</f>
        <v>#REF!</v>
      </c>
      <c r="J8" s="9" t="s">
        <v>99</v>
      </c>
      <c r="K8" s="9" t="s">
        <v>100</v>
      </c>
    </row>
    <row r="9" spans="1:11">
      <c r="A9" s="9">
        <v>7</v>
      </c>
      <c r="B9" s="9" t="s">
        <v>101</v>
      </c>
      <c r="C9" s="18" t="e">
        <f>VLOOKUP(C$2&amp;B9,#REF!,2,FALSE)</f>
        <v>#REF!</v>
      </c>
      <c r="D9" s="9">
        <v>6</v>
      </c>
      <c r="E9" s="9"/>
      <c r="F9" s="9"/>
      <c r="G9" s="9">
        <v>7</v>
      </c>
      <c r="H9" s="9" t="s">
        <v>102</v>
      </c>
      <c r="I9" s="18" t="e">
        <f>(C12+C13+C16)/((C12&lt;&gt;0)+(C13&lt;&gt;0)+(C16&lt;&gt;0))</f>
        <v>#REF!</v>
      </c>
      <c r="J9" s="9" t="s">
        <v>103</v>
      </c>
      <c r="K9" s="9" t="s">
        <v>104</v>
      </c>
    </row>
    <row r="10" spans="1:11">
      <c r="A10" s="9">
        <v>8</v>
      </c>
      <c r="B10" s="9" t="s">
        <v>105</v>
      </c>
      <c r="C10" s="18" t="e">
        <f>VLOOKUP(C$2&amp;B10,#REF!,2,FALSE)</f>
        <v>#REF!</v>
      </c>
      <c r="D10" s="9">
        <v>6</v>
      </c>
      <c r="E10" s="9"/>
      <c r="F10" s="9"/>
      <c r="G10" s="9">
        <v>8</v>
      </c>
      <c r="H10" s="9" t="s">
        <v>106</v>
      </c>
      <c r="I10" s="18" t="e">
        <f>AVERAGEIF(C17:C18,"&lt;&gt;0")</f>
        <v>#REF!</v>
      </c>
      <c r="J10" s="9" t="s">
        <v>107</v>
      </c>
      <c r="K10" s="9" t="s">
        <v>108</v>
      </c>
    </row>
    <row r="11" spans="1:11">
      <c r="A11" s="9">
        <v>9</v>
      </c>
      <c r="B11" s="9" t="s">
        <v>109</v>
      </c>
      <c r="C11" s="18" t="e">
        <f>VLOOKUP(C$2&amp;B11,#REF!,2,FALSE)</f>
        <v>#REF!</v>
      </c>
      <c r="D11" s="9"/>
      <c r="E11" s="9"/>
      <c r="F11" s="9"/>
      <c r="G11" s="9">
        <v>9</v>
      </c>
      <c r="H11" s="9" t="s">
        <v>110</v>
      </c>
      <c r="I11" s="18" t="e">
        <f>AVERAGEIF(C19:C21,"&lt;&gt;0")</f>
        <v>#REF!</v>
      </c>
      <c r="J11" s="9" t="s">
        <v>111</v>
      </c>
      <c r="K11" s="9" t="s">
        <v>112</v>
      </c>
    </row>
    <row r="12" spans="1:11">
      <c r="A12" s="9">
        <v>10</v>
      </c>
      <c r="B12" s="9" t="s">
        <v>113</v>
      </c>
      <c r="C12" s="18" t="e">
        <f>VLOOKUP(C$2&amp;B12,#REF!,2,FALSE)</f>
        <v>#REF!</v>
      </c>
      <c r="D12" s="9">
        <v>7</v>
      </c>
      <c r="E12" s="9"/>
      <c r="F12" s="9"/>
      <c r="G12" s="9">
        <v>10</v>
      </c>
      <c r="H12" s="9" t="s">
        <v>114</v>
      </c>
      <c r="I12" s="18" t="e">
        <f>AVERAGEIF(C11:C12,"&lt;&gt;0")</f>
        <v>#REF!</v>
      </c>
      <c r="J12" s="9" t="s">
        <v>115</v>
      </c>
      <c r="K12" s="9" t="s">
        <v>116</v>
      </c>
    </row>
    <row r="13" spans="1:11">
      <c r="A13" s="9">
        <v>11</v>
      </c>
      <c r="B13" s="9" t="s">
        <v>117</v>
      </c>
      <c r="C13" s="18" t="e">
        <f>VLOOKUP(C$2&amp;B13,#REF!,2,FALSE)</f>
        <v>#REF!</v>
      </c>
      <c r="D13" s="9">
        <v>7</v>
      </c>
      <c r="E13" s="9"/>
      <c r="F13" s="9"/>
      <c r="G13" s="9">
        <v>11</v>
      </c>
      <c r="H13" s="9" t="s">
        <v>118</v>
      </c>
      <c r="I13" s="18" t="e">
        <f>C24</f>
        <v>#REF!</v>
      </c>
      <c r="J13" s="9">
        <v>22</v>
      </c>
      <c r="K13" s="9"/>
    </row>
    <row r="14" spans="1:11">
      <c r="A14" s="9">
        <v>12</v>
      </c>
      <c r="B14" s="9" t="s">
        <v>119</v>
      </c>
      <c r="C14" s="18" t="e">
        <f>VLOOKUP(C$2&amp;B14,#REF!,2,FALSE)</f>
        <v>#REF!</v>
      </c>
      <c r="D14" s="9">
        <v>24</v>
      </c>
      <c r="E14" s="9"/>
      <c r="F14" s="9"/>
      <c r="G14" s="9">
        <v>12</v>
      </c>
      <c r="H14" s="9" t="s">
        <v>120</v>
      </c>
      <c r="I14" s="18" t="e">
        <f>C28</f>
        <v>#REF!</v>
      </c>
      <c r="J14" s="9">
        <v>26</v>
      </c>
      <c r="K14" s="9"/>
    </row>
    <row r="15" spans="1:11">
      <c r="A15" s="9">
        <v>13</v>
      </c>
      <c r="B15" s="9" t="s">
        <v>121</v>
      </c>
      <c r="C15" s="18" t="e">
        <f>VLOOKUP(C$2&amp;B15,#REF!,2,FALSE)</f>
        <v>#REF!</v>
      </c>
      <c r="D15" s="9" t="s">
        <v>122</v>
      </c>
      <c r="E15" s="9"/>
      <c r="F15" s="9"/>
      <c r="G15" s="9">
        <v>13</v>
      </c>
      <c r="H15" s="9" t="s">
        <v>123</v>
      </c>
      <c r="I15" s="18" t="e">
        <f>C26</f>
        <v>#REF!</v>
      </c>
      <c r="J15" s="9" t="s">
        <v>124</v>
      </c>
      <c r="K15" s="9" t="s">
        <v>125</v>
      </c>
    </row>
    <row r="16" spans="1:11">
      <c r="A16" s="9">
        <v>14</v>
      </c>
      <c r="B16" s="9" t="s">
        <v>126</v>
      </c>
      <c r="C16" s="18" t="e">
        <f>VLOOKUP(C$2&amp;B16,#REF!,2,FALSE)</f>
        <v>#REF!</v>
      </c>
      <c r="D16" s="9">
        <v>7</v>
      </c>
      <c r="E16" s="9"/>
      <c r="F16" s="9"/>
      <c r="G16" s="9">
        <v>14</v>
      </c>
      <c r="H16" s="9" t="s">
        <v>2</v>
      </c>
      <c r="I16" s="18" t="e">
        <f>C29</f>
        <v>#REF!</v>
      </c>
      <c r="J16" s="9">
        <v>27</v>
      </c>
      <c r="K16" s="9"/>
    </row>
    <row r="17" spans="1:13">
      <c r="A17" s="9">
        <v>15</v>
      </c>
      <c r="B17" s="9" t="s">
        <v>127</v>
      </c>
      <c r="C17" s="18" t="e">
        <f>VLOOKUP(C$2&amp;B17,#REF!,2,FALSE)</f>
        <v>#REF!</v>
      </c>
      <c r="D17" s="9">
        <v>8</v>
      </c>
      <c r="E17" s="9"/>
      <c r="F17" s="9"/>
      <c r="G17" s="9">
        <v>15</v>
      </c>
      <c r="H17" s="9" t="s">
        <v>128</v>
      </c>
      <c r="I17" s="18" t="e">
        <f>C25</f>
        <v>#REF!</v>
      </c>
      <c r="J17" s="9">
        <v>23</v>
      </c>
      <c r="K17" s="9"/>
    </row>
    <row r="18" spans="1:13">
      <c r="A18" s="9">
        <v>16</v>
      </c>
      <c r="B18" s="9" t="s">
        <v>129</v>
      </c>
      <c r="C18" s="18" t="e">
        <f>VLOOKUP(C$2&amp;B18,#REF!,2,FALSE)</f>
        <v>#REF!</v>
      </c>
      <c r="D18" s="9" t="s">
        <v>130</v>
      </c>
      <c r="E18" s="9"/>
      <c r="F18" s="9"/>
      <c r="G18" s="9">
        <v>16</v>
      </c>
      <c r="H18" s="9" t="s">
        <v>131</v>
      </c>
      <c r="I18" s="18" t="e">
        <f>AVERAGEIF(C30:C31,"&lt;&gt;0")</f>
        <v>#REF!</v>
      </c>
      <c r="J18" s="9" t="s">
        <v>132</v>
      </c>
      <c r="K18" s="9" t="s">
        <v>133</v>
      </c>
    </row>
    <row r="19" spans="1:13">
      <c r="A19" s="9">
        <v>17</v>
      </c>
      <c r="B19" s="9" t="s">
        <v>134</v>
      </c>
      <c r="C19" s="18" t="e">
        <f>VLOOKUP(C$2&amp;B19,#REF!,2,FALSE)</f>
        <v>#REF!</v>
      </c>
      <c r="D19" s="9">
        <v>9</v>
      </c>
      <c r="E19" s="9"/>
      <c r="F19" s="9"/>
      <c r="G19" s="9">
        <v>17</v>
      </c>
      <c r="H19" s="9" t="s">
        <v>135</v>
      </c>
      <c r="I19" s="18" t="e">
        <f>C32</f>
        <v>#REF!</v>
      </c>
      <c r="J19" s="9">
        <v>30</v>
      </c>
      <c r="K19" s="9"/>
    </row>
    <row r="20" spans="1:13">
      <c r="A20" s="9">
        <v>18</v>
      </c>
      <c r="B20" s="9" t="s">
        <v>136</v>
      </c>
      <c r="C20" s="18" t="e">
        <f>VLOOKUP(C$2&amp;B20,#REF!,2,FALSE)</f>
        <v>#REF!</v>
      </c>
      <c r="D20" s="9">
        <v>9</v>
      </c>
      <c r="E20" s="9"/>
      <c r="F20" s="9"/>
      <c r="G20" s="9">
        <v>18</v>
      </c>
      <c r="H20" s="9" t="s">
        <v>137</v>
      </c>
      <c r="I20" s="18" t="e">
        <f>C38</f>
        <v>#REF!</v>
      </c>
      <c r="J20" s="9">
        <v>36</v>
      </c>
      <c r="K20" s="9"/>
    </row>
    <row r="21" spans="1:13">
      <c r="A21" s="9">
        <v>19</v>
      </c>
      <c r="B21" s="9" t="s">
        <v>138</v>
      </c>
      <c r="C21" s="18" t="e">
        <f>VLOOKUP(C$2&amp;B21,#REF!,2,FALSE)</f>
        <v>#REF!</v>
      </c>
      <c r="D21" s="9">
        <v>9</v>
      </c>
      <c r="E21" s="9"/>
      <c r="F21" s="9"/>
      <c r="G21" s="9">
        <v>19</v>
      </c>
      <c r="H21" s="9" t="s">
        <v>32</v>
      </c>
      <c r="I21" s="18" t="e">
        <f>AVERAGEIF(C33:C35,"&lt;&gt;0")</f>
        <v>#REF!</v>
      </c>
      <c r="J21" s="9" t="s">
        <v>139</v>
      </c>
      <c r="K21" s="9" t="s">
        <v>140</v>
      </c>
    </row>
    <row r="22" spans="1:13">
      <c r="A22" s="9">
        <v>20</v>
      </c>
      <c r="B22" s="9" t="s">
        <v>141</v>
      </c>
      <c r="C22" s="18" t="e">
        <f>VLOOKUP(C$2&amp;B22,#REF!,2,FALSE)</f>
        <v>#REF!</v>
      </c>
      <c r="D22" s="9">
        <v>10</v>
      </c>
      <c r="E22" s="9"/>
      <c r="F22" s="9"/>
      <c r="G22" s="9">
        <v>20</v>
      </c>
      <c r="H22" s="9" t="s">
        <v>142</v>
      </c>
      <c r="I22" s="18" t="e">
        <f>(C37+C41)/((C37&lt;&gt;0)+(C41&lt;&gt;0))</f>
        <v>#REF!</v>
      </c>
      <c r="J22" s="9" t="s">
        <v>143</v>
      </c>
      <c r="K22" s="9" t="s">
        <v>144</v>
      </c>
    </row>
    <row r="23" spans="1:13">
      <c r="A23" s="9">
        <v>21</v>
      </c>
      <c r="B23" s="9" t="s">
        <v>145</v>
      </c>
      <c r="C23" s="18" t="e">
        <f>VLOOKUP(C$2&amp;B23,#REF!,2,FALSE)</f>
        <v>#REF!</v>
      </c>
      <c r="D23" s="9">
        <v>10</v>
      </c>
      <c r="E23" s="9"/>
      <c r="F23" s="9"/>
      <c r="G23" s="9">
        <v>21</v>
      </c>
      <c r="H23" s="9" t="s">
        <v>146</v>
      </c>
      <c r="I23" s="18" t="e">
        <f>AVERAGEIF(C43:C45,"&lt;&gt;0")</f>
        <v>#REF!</v>
      </c>
      <c r="J23" s="9" t="s">
        <v>147</v>
      </c>
      <c r="K23" s="9" t="s">
        <v>148</v>
      </c>
    </row>
    <row r="24" spans="1:13">
      <c r="A24" s="9">
        <v>22</v>
      </c>
      <c r="B24" s="9" t="s">
        <v>149</v>
      </c>
      <c r="C24" s="18" t="e">
        <f>VLOOKUP(C$2&amp;B24,#REF!,2,FALSE)</f>
        <v>#REF!</v>
      </c>
      <c r="D24" s="9">
        <v>11</v>
      </c>
      <c r="E24" s="9"/>
      <c r="F24" s="9"/>
      <c r="G24" s="9">
        <v>22</v>
      </c>
      <c r="H24" s="9" t="s">
        <v>150</v>
      </c>
      <c r="I24" s="18" t="e">
        <f>C53</f>
        <v>#REF!</v>
      </c>
      <c r="J24" s="9">
        <v>51</v>
      </c>
      <c r="K24" s="9"/>
    </row>
    <row r="25" spans="1:13" ht="15" customHeight="1">
      <c r="A25" s="9">
        <v>23</v>
      </c>
      <c r="B25" s="9" t="s">
        <v>151</v>
      </c>
      <c r="C25" s="18" t="e">
        <f>VLOOKUP(C$2&amp;B25,#REF!,2,FALSE)</f>
        <v>#REF!</v>
      </c>
      <c r="D25" s="9">
        <v>15</v>
      </c>
      <c r="E25" s="9"/>
      <c r="F25" s="9"/>
      <c r="G25" s="9">
        <v>23</v>
      </c>
      <c r="H25" s="9" t="s">
        <v>152</v>
      </c>
      <c r="I25" s="18" t="e">
        <f>AVERAGEIF(C54:C56,"&lt;&gt;0")</f>
        <v>#REF!</v>
      </c>
      <c r="J25" s="9" t="s">
        <v>153</v>
      </c>
      <c r="K25" s="9" t="s">
        <v>154</v>
      </c>
    </row>
    <row r="26" spans="1:13" ht="15" customHeight="1">
      <c r="A26" s="9">
        <v>24</v>
      </c>
      <c r="B26" s="9" t="s">
        <v>155</v>
      </c>
      <c r="C26" s="18" t="e">
        <f>VLOOKUP(C$2&amp;B26,#REF!,2,FALSE)</f>
        <v>#REF!</v>
      </c>
      <c r="D26" s="9">
        <v>13</v>
      </c>
      <c r="E26" s="9"/>
      <c r="F26" s="9"/>
      <c r="G26" s="9">
        <v>24</v>
      </c>
      <c r="H26" s="9" t="s">
        <v>156</v>
      </c>
      <c r="I26" s="18" t="e">
        <f>IF(C14&lt;&gt;0,C14,I30)</f>
        <v>#REF!</v>
      </c>
      <c r="J26" s="9">
        <v>12</v>
      </c>
      <c r="K26" s="9" t="s">
        <v>157</v>
      </c>
      <c r="M26" s="19"/>
    </row>
    <row r="27" spans="1:13" ht="15" customHeight="1">
      <c r="A27" s="9">
        <v>25</v>
      </c>
      <c r="B27" s="9" t="s">
        <v>158</v>
      </c>
      <c r="C27" s="18" t="e">
        <f>VLOOKUP(C$2&amp;B27,#REF!,2,FALSE)</f>
        <v>#REF!</v>
      </c>
      <c r="D27" s="9">
        <v>13</v>
      </c>
      <c r="E27" s="9"/>
      <c r="F27" s="9"/>
      <c r="G27" s="9">
        <v>25</v>
      </c>
      <c r="H27" s="9" t="s">
        <v>159</v>
      </c>
      <c r="I27" s="20" t="e">
        <f>(C15+C19+C21)/((C15&lt;&gt;0)+(C19&lt;&gt;0)+(C21&lt;&gt;0))</f>
        <v>#REF!</v>
      </c>
      <c r="J27" s="9" t="s">
        <v>160</v>
      </c>
      <c r="K27" s="9" t="s">
        <v>161</v>
      </c>
      <c r="M27" s="19"/>
    </row>
    <row r="28" spans="1:13" ht="15" customHeight="1">
      <c r="A28" s="9">
        <v>26</v>
      </c>
      <c r="B28" s="9" t="s">
        <v>162</v>
      </c>
      <c r="C28" s="18" t="e">
        <f>VLOOKUP(C$2&amp;B28,#REF!,2,FALSE)</f>
        <v>#REF!</v>
      </c>
      <c r="D28" s="9">
        <v>12</v>
      </c>
      <c r="E28" s="9"/>
      <c r="F28" s="9"/>
      <c r="G28" s="9">
        <v>26</v>
      </c>
      <c r="H28" s="9" t="s">
        <v>163</v>
      </c>
      <c r="I28" s="20" t="e">
        <f>(C8+C15+C18)/((C8&lt;&gt;0)+(C15&lt;&gt;0)+(C18&lt;&gt;0))</f>
        <v>#REF!</v>
      </c>
      <c r="J28" s="9" t="s">
        <v>164</v>
      </c>
      <c r="K28" s="9" t="s">
        <v>165</v>
      </c>
      <c r="M28" s="19"/>
    </row>
    <row r="29" spans="1:13" ht="15" customHeight="1">
      <c r="A29" s="9">
        <v>27</v>
      </c>
      <c r="B29" s="9" t="s">
        <v>2</v>
      </c>
      <c r="C29" s="18" t="e">
        <f>VLOOKUP(C$2&amp;B29,#REF!,2,FALSE)</f>
        <v>#REF!</v>
      </c>
      <c r="D29" s="9">
        <v>14</v>
      </c>
      <c r="E29" s="9"/>
      <c r="F29" s="9"/>
      <c r="G29" s="9"/>
      <c r="H29" s="9"/>
      <c r="I29" s="9"/>
      <c r="J29" s="9"/>
      <c r="K29" s="9"/>
    </row>
    <row r="30" spans="1:13">
      <c r="A30" s="9">
        <v>28</v>
      </c>
      <c r="B30" s="9" t="s">
        <v>166</v>
      </c>
      <c r="C30" s="18" t="e">
        <f>VLOOKUP(C$2&amp;B30,#REF!,2,FALSE)</f>
        <v>#REF!</v>
      </c>
      <c r="D30" s="9">
        <v>16</v>
      </c>
      <c r="E30" s="9"/>
      <c r="F30" s="9"/>
      <c r="G30" s="9" t="s">
        <v>35</v>
      </c>
      <c r="H30" s="9" t="s">
        <v>156</v>
      </c>
      <c r="I30" s="20" t="e">
        <f>VLOOKUP("ROW"&amp;B14,#REF!,2,FALSE)</f>
        <v>#REF!</v>
      </c>
      <c r="J30" s="9"/>
      <c r="K30" s="9" t="s">
        <v>167</v>
      </c>
    </row>
    <row r="31" spans="1:13">
      <c r="A31" s="9">
        <v>29</v>
      </c>
      <c r="B31" s="9" t="s">
        <v>168</v>
      </c>
      <c r="C31" s="18" t="e">
        <f>VLOOKUP(C$2&amp;B31,#REF!,2,FALSE)</f>
        <v>#REF!</v>
      </c>
      <c r="D31" s="9">
        <v>16</v>
      </c>
      <c r="E31" s="9"/>
      <c r="F31" s="9"/>
      <c r="G31" s="9"/>
      <c r="H31" s="9"/>
      <c r="I31" s="9"/>
      <c r="J31" s="9"/>
      <c r="K31" s="9"/>
    </row>
    <row r="32" spans="1:13">
      <c r="A32" s="9">
        <v>30</v>
      </c>
      <c r="B32" s="9" t="s">
        <v>169</v>
      </c>
      <c r="C32" s="18" t="e">
        <f>VLOOKUP(C$2&amp;B32,#REF!,2,FALSE)</f>
        <v>#REF!</v>
      </c>
      <c r="D32" s="9">
        <v>17</v>
      </c>
      <c r="E32" s="9"/>
      <c r="F32" s="9"/>
      <c r="G32" s="9"/>
      <c r="H32" s="9"/>
      <c r="I32" s="9"/>
      <c r="J32" s="9"/>
      <c r="K32" s="9"/>
    </row>
    <row r="33" spans="1:11">
      <c r="A33" s="9">
        <v>31</v>
      </c>
      <c r="B33" s="9" t="s">
        <v>170</v>
      </c>
      <c r="C33" s="18" t="e">
        <f>VLOOKUP(C$2&amp;B33,#REF!,2,FALSE)</f>
        <v>#REF!</v>
      </c>
      <c r="D33" s="9">
        <v>19</v>
      </c>
      <c r="E33" s="9"/>
      <c r="F33" s="9"/>
      <c r="G33" s="9"/>
      <c r="H33" s="9"/>
      <c r="I33" s="9"/>
      <c r="J33" s="9"/>
      <c r="K33" s="9"/>
    </row>
    <row r="34" spans="1:11">
      <c r="A34" s="9">
        <v>32</v>
      </c>
      <c r="B34" s="9" t="s">
        <v>171</v>
      </c>
      <c r="C34" s="18" t="e">
        <f>VLOOKUP(C$2&amp;B34,#REF!,2,FALSE)</f>
        <v>#REF!</v>
      </c>
      <c r="D34" s="9">
        <v>19</v>
      </c>
      <c r="E34" s="9"/>
      <c r="F34" s="9"/>
      <c r="G34" s="9"/>
      <c r="H34" s="9"/>
      <c r="I34" s="9"/>
      <c r="J34" s="9"/>
      <c r="K34" s="9"/>
    </row>
    <row r="35" spans="1:11">
      <c r="A35" s="9">
        <v>33</v>
      </c>
      <c r="B35" s="9" t="s">
        <v>21</v>
      </c>
      <c r="C35" s="18" t="e">
        <f>VLOOKUP(C$2&amp;B35,#REF!,2,FALSE)</f>
        <v>#REF!</v>
      </c>
      <c r="D35" s="9">
        <v>19</v>
      </c>
      <c r="E35" s="9"/>
      <c r="F35" s="9"/>
      <c r="G35" s="9"/>
      <c r="H35" s="9"/>
      <c r="I35" s="9"/>
      <c r="J35" s="9"/>
      <c r="K35" s="9"/>
    </row>
    <row r="36" spans="1:11">
      <c r="A36" s="9">
        <v>34</v>
      </c>
      <c r="B36" s="9" t="s">
        <v>172</v>
      </c>
      <c r="C36" s="18" t="e">
        <f>VLOOKUP(C$2&amp;B36,#REF!,2,FALSE)</f>
        <v>#REF!</v>
      </c>
      <c r="D36" s="9"/>
      <c r="E36" s="9"/>
      <c r="F36" s="9"/>
      <c r="G36" s="9"/>
      <c r="H36" s="9"/>
      <c r="I36" s="9"/>
      <c r="J36" s="9"/>
      <c r="K36" s="9"/>
    </row>
    <row r="37" spans="1:11">
      <c r="A37" s="9">
        <v>35</v>
      </c>
      <c r="B37" s="9" t="s">
        <v>173</v>
      </c>
      <c r="C37" s="18" t="e">
        <f>VLOOKUP(C$2&amp;B37,#REF!,2,FALSE)</f>
        <v>#REF!</v>
      </c>
      <c r="D37" s="9">
        <v>20</v>
      </c>
      <c r="E37" s="9"/>
      <c r="F37" s="9"/>
      <c r="G37" s="9"/>
      <c r="H37" s="9"/>
      <c r="I37" s="9"/>
      <c r="J37" s="9"/>
      <c r="K37" s="9"/>
    </row>
    <row r="38" spans="1:11">
      <c r="A38" s="9">
        <v>36</v>
      </c>
      <c r="B38" s="9" t="s">
        <v>174</v>
      </c>
      <c r="C38" s="18" t="e">
        <f>VLOOKUP(C$2&amp;B38,#REF!,2,FALSE)</f>
        <v>#REF!</v>
      </c>
      <c r="D38" s="9">
        <v>18</v>
      </c>
      <c r="E38" s="9"/>
      <c r="F38" s="9"/>
      <c r="G38" s="9"/>
      <c r="H38" s="9"/>
      <c r="I38" s="9"/>
      <c r="J38" s="9"/>
      <c r="K38" s="9"/>
    </row>
    <row r="39" spans="1:11">
      <c r="A39" s="9">
        <v>37</v>
      </c>
      <c r="B39" s="9" t="s">
        <v>175</v>
      </c>
      <c r="C39" s="18" t="e">
        <f>VLOOKUP(C$2&amp;B39,#REF!,2,FALSE)</f>
        <v>#REF!</v>
      </c>
      <c r="D39" s="9"/>
      <c r="E39" s="9"/>
      <c r="F39" s="9"/>
      <c r="G39" s="9"/>
      <c r="H39" s="9"/>
      <c r="I39" s="9"/>
      <c r="J39" s="9"/>
      <c r="K39" s="9"/>
    </row>
    <row r="40" spans="1:11">
      <c r="A40" s="9">
        <v>38</v>
      </c>
      <c r="B40" s="9" t="s">
        <v>176</v>
      </c>
      <c r="C40" s="18" t="e">
        <f>VLOOKUP(C$2&amp;B40,#REF!,2,FALSE)</f>
        <v>#REF!</v>
      </c>
      <c r="D40" s="9"/>
      <c r="E40" s="9"/>
      <c r="F40" s="9"/>
      <c r="G40" s="9"/>
      <c r="H40" s="9"/>
      <c r="I40" s="9"/>
      <c r="J40" s="9"/>
      <c r="K40" s="9"/>
    </row>
    <row r="41" spans="1:11">
      <c r="A41" s="9">
        <v>39</v>
      </c>
      <c r="B41" s="9" t="s">
        <v>22</v>
      </c>
      <c r="C41" s="18" t="e">
        <f>VLOOKUP(C$2&amp;B41,#REF!,2,FALSE)</f>
        <v>#REF!</v>
      </c>
      <c r="D41" s="9">
        <v>20</v>
      </c>
      <c r="E41" s="9"/>
      <c r="F41" s="9"/>
      <c r="G41" s="9"/>
      <c r="H41" s="9"/>
      <c r="I41" s="9"/>
      <c r="J41" s="9"/>
      <c r="K41" s="9"/>
    </row>
    <row r="42" spans="1:11">
      <c r="A42" s="9">
        <v>40</v>
      </c>
      <c r="B42" s="9" t="s">
        <v>177</v>
      </c>
      <c r="C42" s="18" t="e">
        <f>VLOOKUP(C$2&amp;B42,#REF!,2,FALSE)</f>
        <v>#REF!</v>
      </c>
      <c r="D42" s="9"/>
      <c r="E42" s="9"/>
      <c r="F42" s="9"/>
      <c r="G42" s="9"/>
      <c r="H42" s="9"/>
      <c r="I42" s="9"/>
      <c r="J42" s="9"/>
      <c r="K42" s="9"/>
    </row>
    <row r="43" spans="1:11">
      <c r="A43" s="9">
        <v>41</v>
      </c>
      <c r="B43" s="9" t="s">
        <v>178</v>
      </c>
      <c r="C43" s="18" t="e">
        <f>VLOOKUP(C$2&amp;B43,#REF!,2,FALSE)</f>
        <v>#REF!</v>
      </c>
      <c r="D43" s="9">
        <v>21</v>
      </c>
      <c r="E43" s="9"/>
      <c r="F43" s="9"/>
      <c r="G43" s="9"/>
      <c r="H43" s="9"/>
      <c r="I43" s="9"/>
      <c r="J43" s="9"/>
      <c r="K43" s="9"/>
    </row>
    <row r="44" spans="1:11">
      <c r="A44" s="9">
        <v>42</v>
      </c>
      <c r="B44" s="9" t="s">
        <v>179</v>
      </c>
      <c r="C44" s="18" t="e">
        <f>VLOOKUP(C$2&amp;B44,#REF!,2,FALSE)</f>
        <v>#REF!</v>
      </c>
      <c r="D44" s="9">
        <v>21</v>
      </c>
      <c r="E44" s="9"/>
      <c r="F44" s="9"/>
      <c r="G44" s="9"/>
      <c r="H44" s="9"/>
      <c r="I44" s="9"/>
      <c r="J44" s="9"/>
      <c r="K44" s="9"/>
    </row>
    <row r="45" spans="1:11">
      <c r="A45" s="9">
        <v>43</v>
      </c>
      <c r="B45" s="9" t="s">
        <v>180</v>
      </c>
      <c r="C45" s="18" t="e">
        <f>VLOOKUP(C$2&amp;B45,#REF!,2,FALSE)</f>
        <v>#REF!</v>
      </c>
      <c r="D45" s="9">
        <v>21</v>
      </c>
      <c r="E45" s="9"/>
      <c r="F45" s="9"/>
      <c r="G45" s="9"/>
      <c r="H45" s="9"/>
      <c r="I45" s="9"/>
      <c r="J45" s="9"/>
      <c r="K45" s="9"/>
    </row>
    <row r="46" spans="1:11">
      <c r="A46" s="9">
        <v>44</v>
      </c>
      <c r="B46" s="9" t="s">
        <v>181</v>
      </c>
      <c r="C46" s="18" t="e">
        <f>VLOOKUP(C$2&amp;B46,#REF!,2,FALSE)</f>
        <v>#REF!</v>
      </c>
      <c r="D46" s="9"/>
      <c r="E46" s="9"/>
      <c r="F46" s="9"/>
      <c r="G46" s="9"/>
      <c r="H46" s="9"/>
      <c r="I46" s="9"/>
      <c r="J46" s="9"/>
      <c r="K46" s="9"/>
    </row>
    <row r="47" spans="1:11">
      <c r="A47" s="9">
        <v>45</v>
      </c>
      <c r="B47" s="9" t="s">
        <v>182</v>
      </c>
      <c r="C47" s="18" t="e">
        <f>VLOOKUP(C$2&amp;B47,#REF!,2,FALSE)</f>
        <v>#REF!</v>
      </c>
      <c r="D47" s="9"/>
      <c r="E47" s="9"/>
      <c r="F47" s="9"/>
      <c r="G47" s="9"/>
      <c r="H47" s="9"/>
      <c r="I47" s="9"/>
      <c r="J47" s="9"/>
      <c r="K47" s="9"/>
    </row>
    <row r="48" spans="1:11">
      <c r="A48" s="9">
        <v>46</v>
      </c>
      <c r="B48" s="9" t="s">
        <v>183</v>
      </c>
      <c r="C48" s="18" t="e">
        <f>VLOOKUP(C$2&amp;B48,#REF!,2,FALSE)</f>
        <v>#REF!</v>
      </c>
      <c r="D48" s="9"/>
      <c r="E48" s="9"/>
      <c r="F48" s="9"/>
      <c r="G48" s="9"/>
      <c r="H48" s="9"/>
      <c r="I48" s="9"/>
      <c r="J48" s="9"/>
      <c r="K48" s="9"/>
    </row>
    <row r="49" spans="1:11">
      <c r="A49" s="9">
        <v>47</v>
      </c>
      <c r="B49" s="9" t="s">
        <v>23</v>
      </c>
      <c r="C49" s="18" t="e">
        <f>VLOOKUP(C$2&amp;B49,#REF!,2,FALSE)</f>
        <v>#REF!</v>
      </c>
      <c r="D49" s="9"/>
      <c r="E49" s="9"/>
      <c r="F49" s="9"/>
      <c r="G49" s="9"/>
      <c r="H49" s="9"/>
      <c r="I49" s="9"/>
      <c r="J49" s="9"/>
      <c r="K49" s="9"/>
    </row>
    <row r="50" spans="1:11">
      <c r="A50" s="9">
        <v>48</v>
      </c>
      <c r="B50" s="9" t="s">
        <v>184</v>
      </c>
      <c r="C50" s="18" t="e">
        <f>VLOOKUP(C$2&amp;B50,#REF!,2,FALSE)</f>
        <v>#REF!</v>
      </c>
      <c r="D50" s="9"/>
      <c r="E50" s="9"/>
      <c r="F50" s="9"/>
      <c r="G50" s="9"/>
      <c r="H50" s="9"/>
      <c r="I50" s="9"/>
      <c r="J50" s="9"/>
      <c r="K50" s="9"/>
    </row>
    <row r="51" spans="1:11">
      <c r="A51" s="9">
        <v>49</v>
      </c>
      <c r="B51" s="9" t="s">
        <v>185</v>
      </c>
      <c r="C51" s="18" t="e">
        <f>VLOOKUP(C$2&amp;B51,#REF!,2,FALSE)</f>
        <v>#REF!</v>
      </c>
      <c r="D51" s="9"/>
      <c r="E51" s="9"/>
      <c r="F51" s="9"/>
      <c r="G51" s="9"/>
      <c r="H51" s="9"/>
      <c r="I51" s="9"/>
      <c r="J51" s="9"/>
      <c r="K51" s="9"/>
    </row>
    <row r="52" spans="1:11">
      <c r="A52" s="9">
        <v>50</v>
      </c>
      <c r="B52" s="9" t="s">
        <v>186</v>
      </c>
      <c r="C52" s="18" t="e">
        <f>VLOOKUP(C$2&amp;B52,#REF!,2,FALSE)</f>
        <v>#REF!</v>
      </c>
      <c r="D52" s="9"/>
      <c r="E52" s="9"/>
      <c r="F52" s="9"/>
      <c r="G52" s="9"/>
      <c r="H52" s="9"/>
      <c r="I52" s="9"/>
      <c r="J52" s="9"/>
      <c r="K52" s="9"/>
    </row>
    <row r="53" spans="1:11">
      <c r="A53" s="9">
        <v>51</v>
      </c>
      <c r="B53" s="9" t="s">
        <v>187</v>
      </c>
      <c r="C53" s="18" t="e">
        <f>VLOOKUP(C$2&amp;B53,#REF!,2,FALSE)</f>
        <v>#REF!</v>
      </c>
      <c r="D53" s="9">
        <v>22</v>
      </c>
      <c r="E53" s="9"/>
      <c r="F53" s="9"/>
      <c r="G53" s="9"/>
      <c r="H53" s="9"/>
      <c r="I53" s="9"/>
      <c r="J53" s="9"/>
      <c r="K53" s="9"/>
    </row>
    <row r="54" spans="1:11">
      <c r="A54" s="9">
        <v>52</v>
      </c>
      <c r="B54" s="9" t="s">
        <v>188</v>
      </c>
      <c r="C54" s="18" t="e">
        <f>VLOOKUP(C$2&amp;B54,#REF!,2,FALSE)</f>
        <v>#REF!</v>
      </c>
      <c r="D54" s="9">
        <v>23</v>
      </c>
      <c r="E54" s="9"/>
      <c r="F54" s="9"/>
      <c r="G54" s="9"/>
      <c r="H54" s="9"/>
      <c r="I54" s="9"/>
      <c r="J54" s="9"/>
      <c r="K54" s="9"/>
    </row>
    <row r="55" spans="1:11">
      <c r="A55" s="9">
        <v>53</v>
      </c>
      <c r="B55" s="9" t="s">
        <v>189</v>
      </c>
      <c r="C55" s="18" t="e">
        <f>VLOOKUP(C$2&amp;B55,#REF!,2,FALSE)</f>
        <v>#REF!</v>
      </c>
      <c r="D55" s="9">
        <v>23</v>
      </c>
      <c r="E55" s="9"/>
      <c r="F55" s="9"/>
      <c r="G55" s="9"/>
      <c r="H55" s="9"/>
      <c r="I55" s="9"/>
      <c r="J55" s="9"/>
      <c r="K55" s="9"/>
    </row>
    <row r="56" spans="1:11">
      <c r="A56" s="9">
        <v>54</v>
      </c>
      <c r="B56" s="9" t="s">
        <v>190</v>
      </c>
      <c r="C56" s="18" t="e">
        <f>VLOOKUP(C$2&amp;B56,#REF!,2,FALSE)</f>
        <v>#REF!</v>
      </c>
      <c r="D56" s="9">
        <v>23</v>
      </c>
      <c r="E56" s="9"/>
      <c r="F56" s="9"/>
      <c r="G56" s="9"/>
      <c r="H56" s="9"/>
      <c r="I56" s="9"/>
      <c r="J56" s="9"/>
      <c r="K56" s="9"/>
    </row>
    <row r="57" spans="1:11">
      <c r="A57" s="9">
        <v>55</v>
      </c>
      <c r="B57" s="9" t="s">
        <v>191</v>
      </c>
      <c r="C57" s="18" t="e">
        <f>VLOOKUP(C$2&amp;B57,#REF!,2,FALSE)</f>
        <v>#REF!</v>
      </c>
      <c r="D57" s="9"/>
      <c r="E57" s="9"/>
      <c r="F57" s="9"/>
      <c r="G57" s="9"/>
      <c r="H57" s="9"/>
      <c r="I57" s="9"/>
      <c r="J57" s="9"/>
      <c r="K57" s="9"/>
    </row>
    <row r="58" spans="1:11">
      <c r="A58" s="9">
        <v>56</v>
      </c>
      <c r="B58" s="9" t="s">
        <v>192</v>
      </c>
      <c r="C58" s="18" t="e">
        <f>VLOOKUP(C$2&amp;B58,#REF!,2,FALSE)</f>
        <v>#REF!</v>
      </c>
      <c r="D58" s="9"/>
      <c r="E58" s="9"/>
      <c r="F58" s="9"/>
      <c r="G58" s="9"/>
      <c r="H58" s="9"/>
      <c r="I58" s="9"/>
      <c r="J58" s="9"/>
      <c r="K58" s="9"/>
    </row>
  </sheetData>
  <sheetProtection sheet="1" objects="1" scenarios="1"/>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306A5-9ACC-45E9-9FE8-B19ADCEC3CFF}">
  <sheetPr codeName="Sheet6">
    <tabColor rgb="FF94E494"/>
  </sheetPr>
  <dimension ref="A1:DR305"/>
  <sheetViews>
    <sheetView showGridLines="0" zoomScale="80" zoomScaleNormal="80" zoomScaleSheetLayoutView="80" zoomScalePageLayoutView="40" workbookViewId="0">
      <selection activeCell="J28" sqref="J28"/>
    </sheetView>
  </sheetViews>
  <sheetFormatPr defaultColWidth="10.5" defaultRowHeight="14.25"/>
  <cols>
    <col min="1" max="1" width="8.125" style="1420" customWidth="1"/>
    <col min="2" max="2" width="70.625" style="6" customWidth="1"/>
    <col min="3" max="3" width="2.875" style="6" customWidth="1"/>
    <col min="4" max="4" width="15.125" style="6" customWidth="1"/>
    <col min="5" max="5" width="24.125" style="6" bestFit="1" customWidth="1"/>
    <col min="6" max="6" width="7" style="6" bestFit="1" customWidth="1"/>
    <col min="7" max="7" width="12.125" style="561" customWidth="1"/>
    <col min="8" max="11" width="10.5" style="561" customWidth="1"/>
    <col min="12" max="12" width="24.625" style="561" customWidth="1"/>
    <col min="13" max="13" width="58.625" style="561" customWidth="1"/>
    <col min="14" max="14" width="14.875" style="749" customWidth="1"/>
    <col min="15" max="15" width="53.25" style="749" bestFit="1" customWidth="1"/>
    <col min="16" max="16" width="37.375" style="749" bestFit="1" customWidth="1"/>
    <col min="17" max="17" width="37.375" style="561" bestFit="1" customWidth="1"/>
    <col min="18" max="16384" width="10.5" style="561"/>
  </cols>
  <sheetData>
    <row r="1" spans="1:122" ht="102.95" customHeight="1">
      <c r="B1" s="348"/>
      <c r="C1" s="1522"/>
      <c r="D1" s="1522"/>
      <c r="E1" s="1522"/>
      <c r="F1" s="1522"/>
    </row>
    <row r="2" spans="1:122" s="364" customFormat="1" ht="24" customHeight="1">
      <c r="A2" s="362"/>
      <c r="B2" s="363" t="str">
        <f>+Instructions!B2</f>
        <v>Health Care Emissions Impact Calculator-Facility</v>
      </c>
      <c r="C2" s="362"/>
      <c r="D2" s="363"/>
      <c r="E2" s="363"/>
      <c r="F2" s="363"/>
      <c r="G2" s="1407"/>
      <c r="H2" s="1407"/>
      <c r="I2" s="1407"/>
      <c r="J2" s="1407"/>
      <c r="K2" s="1407"/>
      <c r="L2" s="1407"/>
      <c r="M2" s="1407"/>
      <c r="N2" s="1408"/>
      <c r="O2" s="750"/>
      <c r="P2" s="750"/>
      <c r="Q2" s="1407"/>
      <c r="R2" s="1407"/>
    </row>
    <row r="3" spans="1:122" s="564" customFormat="1" ht="24" customHeight="1">
      <c r="A3" s="1421"/>
      <c r="B3" s="562" t="str">
        <f>+'Facility or System Data'!$C$3&amp;" - Year " &amp; Instructions!$C$6&amp;" - Results in MTCO2e"</f>
        <v xml:space="preserve"> - Year  - Results in MTCO2e</v>
      </c>
      <c r="C3" s="562"/>
      <c r="D3" s="563"/>
      <c r="E3" s="563"/>
      <c r="F3" s="563"/>
      <c r="G3" s="561"/>
      <c r="H3" s="561"/>
      <c r="I3" s="561"/>
      <c r="J3" s="561"/>
      <c r="K3" s="561"/>
      <c r="L3" s="561"/>
      <c r="M3" s="561"/>
      <c r="N3" s="749"/>
      <c r="O3" s="749"/>
      <c r="P3" s="749"/>
      <c r="Q3" s="561"/>
      <c r="R3" s="561"/>
      <c r="S3" s="561"/>
      <c r="T3" s="561"/>
      <c r="U3" s="561"/>
      <c r="V3" s="561"/>
      <c r="W3" s="561"/>
      <c r="X3" s="561"/>
      <c r="Y3" s="561"/>
      <c r="Z3" s="561"/>
      <c r="AA3" s="561"/>
      <c r="AB3" s="561"/>
      <c r="AC3" s="561"/>
      <c r="AD3" s="561"/>
      <c r="AE3" s="561"/>
      <c r="AF3" s="561"/>
      <c r="AG3" s="561"/>
      <c r="AH3" s="561"/>
      <c r="AI3" s="561"/>
      <c r="AJ3" s="561"/>
      <c r="AK3" s="561"/>
      <c r="AL3" s="561"/>
      <c r="AM3" s="561"/>
      <c r="AN3" s="561"/>
      <c r="AO3" s="561"/>
      <c r="AP3" s="561"/>
      <c r="AQ3" s="561"/>
      <c r="AR3" s="561"/>
      <c r="AS3" s="561"/>
      <c r="AT3" s="561"/>
      <c r="AU3" s="561"/>
      <c r="AV3" s="561"/>
      <c r="AW3" s="561"/>
      <c r="AX3" s="561"/>
      <c r="AY3" s="561"/>
      <c r="AZ3" s="561"/>
      <c r="BA3" s="561"/>
      <c r="BB3" s="561"/>
      <c r="BC3" s="561"/>
      <c r="BD3" s="561"/>
      <c r="BE3" s="561"/>
      <c r="BF3" s="561"/>
      <c r="BG3" s="561"/>
      <c r="BH3" s="561"/>
      <c r="BI3" s="561"/>
      <c r="BJ3" s="561"/>
      <c r="BK3" s="561"/>
      <c r="BL3" s="561"/>
      <c r="BM3" s="561"/>
      <c r="BN3" s="561"/>
      <c r="BO3" s="561"/>
      <c r="BP3" s="561"/>
      <c r="BQ3" s="561"/>
      <c r="BR3" s="561"/>
      <c r="BS3" s="561"/>
      <c r="BT3" s="561"/>
      <c r="BU3" s="561"/>
      <c r="BV3" s="561"/>
      <c r="BW3" s="561"/>
      <c r="BX3" s="561"/>
      <c r="BY3" s="561"/>
      <c r="BZ3" s="561"/>
      <c r="CA3" s="561"/>
      <c r="CB3" s="561"/>
      <c r="CC3" s="561"/>
      <c r="CD3" s="561"/>
      <c r="CE3" s="561"/>
      <c r="CF3" s="561"/>
      <c r="CG3" s="561"/>
      <c r="CH3" s="561"/>
      <c r="CI3" s="561"/>
      <c r="CJ3" s="561"/>
      <c r="CK3" s="561"/>
      <c r="CL3" s="561"/>
      <c r="CM3" s="561"/>
      <c r="CN3" s="561"/>
      <c r="CO3" s="561"/>
      <c r="CP3" s="561"/>
      <c r="CQ3" s="561"/>
      <c r="CR3" s="561"/>
      <c r="CS3" s="561"/>
      <c r="CT3" s="561"/>
      <c r="CU3" s="561"/>
      <c r="CV3" s="561"/>
      <c r="CW3" s="561"/>
      <c r="CX3" s="561"/>
      <c r="CY3" s="561"/>
      <c r="CZ3" s="561"/>
      <c r="DA3" s="561"/>
      <c r="DB3" s="561"/>
      <c r="DC3" s="561"/>
      <c r="DD3" s="561"/>
      <c r="DE3" s="561"/>
      <c r="DF3" s="561"/>
      <c r="DG3" s="561"/>
      <c r="DH3" s="561"/>
      <c r="DI3" s="561"/>
      <c r="DJ3" s="561"/>
      <c r="DK3" s="561"/>
      <c r="DL3" s="561"/>
      <c r="DM3" s="561"/>
      <c r="DN3" s="561"/>
      <c r="DO3" s="561"/>
      <c r="DP3" s="561"/>
      <c r="DQ3" s="561"/>
      <c r="DR3" s="561"/>
    </row>
    <row r="4" spans="1:122" s="564" customFormat="1" ht="6" customHeight="1">
      <c r="A4" s="1420"/>
      <c r="B4" s="6"/>
      <c r="C4" s="6"/>
      <c r="D4" s="6"/>
      <c r="E4" s="6"/>
      <c r="F4" s="6"/>
      <c r="G4" s="561"/>
      <c r="H4" s="561"/>
      <c r="I4" s="561"/>
      <c r="J4" s="561"/>
      <c r="K4" s="561"/>
      <c r="L4" s="561"/>
      <c r="M4" s="561"/>
      <c r="N4" s="749"/>
      <c r="O4" s="749"/>
      <c r="P4" s="749"/>
      <c r="Q4" s="561"/>
      <c r="R4" s="561"/>
      <c r="S4" s="561"/>
      <c r="T4" s="561"/>
      <c r="U4" s="561"/>
      <c r="V4" s="561"/>
      <c r="W4" s="561"/>
      <c r="X4" s="561"/>
      <c r="Y4" s="561"/>
      <c r="Z4" s="561"/>
      <c r="AA4" s="561"/>
      <c r="AB4" s="561"/>
      <c r="AC4" s="561"/>
      <c r="AD4" s="561"/>
      <c r="AE4" s="561"/>
      <c r="AF4" s="561"/>
      <c r="AG4" s="561"/>
      <c r="AH4" s="561"/>
      <c r="AI4" s="561"/>
      <c r="AJ4" s="561"/>
      <c r="AK4" s="561"/>
      <c r="AL4" s="561"/>
      <c r="AM4" s="561"/>
      <c r="AN4" s="561"/>
      <c r="AO4" s="561"/>
      <c r="AP4" s="561"/>
      <c r="AQ4" s="561"/>
      <c r="AR4" s="561"/>
      <c r="AS4" s="561"/>
      <c r="AT4" s="561"/>
      <c r="AU4" s="561"/>
      <c r="AV4" s="561"/>
      <c r="AW4" s="561"/>
      <c r="AX4" s="561"/>
      <c r="AY4" s="561"/>
      <c r="AZ4" s="561"/>
      <c r="BA4" s="561"/>
      <c r="BB4" s="561"/>
      <c r="BC4" s="561"/>
      <c r="BD4" s="561"/>
      <c r="BE4" s="561"/>
      <c r="BF4" s="561"/>
      <c r="BG4" s="561"/>
      <c r="BH4" s="561"/>
      <c r="BI4" s="561"/>
      <c r="BJ4" s="561"/>
    </row>
    <row r="5" spans="1:122" s="564" customFormat="1" ht="0.95" customHeight="1">
      <c r="A5" s="1420"/>
      <c r="B5" s="6"/>
      <c r="C5" s="6"/>
      <c r="D5" s="6"/>
      <c r="E5" s="6"/>
      <c r="F5" s="6"/>
      <c r="G5" s="561"/>
      <c r="H5" s="561"/>
      <c r="I5" s="561"/>
      <c r="J5" s="561"/>
      <c r="K5" s="561"/>
      <c r="L5" s="561"/>
      <c r="M5" s="561"/>
      <c r="N5" s="749"/>
      <c r="O5" s="749"/>
      <c r="P5" s="749"/>
      <c r="Q5" s="561"/>
      <c r="R5" s="561"/>
      <c r="S5" s="561"/>
      <c r="T5" s="561"/>
      <c r="U5" s="561"/>
      <c r="V5" s="561"/>
      <c r="W5" s="561"/>
      <c r="X5" s="561"/>
      <c r="Y5" s="561"/>
      <c r="Z5" s="561"/>
      <c r="AA5" s="561"/>
      <c r="AB5" s="561"/>
      <c r="AC5" s="561"/>
      <c r="AD5" s="561"/>
      <c r="AE5" s="561"/>
      <c r="AF5" s="561"/>
      <c r="AG5" s="561"/>
      <c r="AH5" s="561"/>
      <c r="AI5" s="561"/>
      <c r="AJ5" s="561"/>
      <c r="AK5" s="561"/>
      <c r="AL5" s="561"/>
      <c r="AM5" s="561"/>
      <c r="AN5" s="561"/>
      <c r="AO5" s="561"/>
      <c r="AP5" s="561"/>
      <c r="AQ5" s="561"/>
      <c r="AR5" s="561"/>
      <c r="AS5" s="561"/>
      <c r="AT5" s="561"/>
      <c r="AU5" s="561"/>
      <c r="AV5" s="561"/>
      <c r="AW5" s="561"/>
      <c r="AX5" s="561"/>
      <c r="AY5" s="561"/>
      <c r="AZ5" s="561"/>
      <c r="BA5" s="561"/>
      <c r="BB5" s="561"/>
      <c r="BC5" s="561"/>
      <c r="BD5" s="561"/>
      <c r="BE5" s="561"/>
      <c r="BF5" s="561"/>
      <c r="BG5" s="561"/>
      <c r="BH5" s="561"/>
      <c r="BI5" s="561"/>
      <c r="BJ5" s="561"/>
    </row>
    <row r="6" spans="1:122" s="565" customFormat="1" ht="18" customHeight="1">
      <c r="A6" s="1422"/>
      <c r="C6" s="566"/>
      <c r="D6" s="567" t="s">
        <v>2765</v>
      </c>
      <c r="E6" s="568">
        <f>(+D7+D20+D23)</f>
        <v>4645.4736823110006</v>
      </c>
      <c r="F6" s="569">
        <f>+F7+F20+F23</f>
        <v>1</v>
      </c>
      <c r="G6" s="570"/>
      <c r="H6" s="570"/>
      <c r="I6" s="570"/>
      <c r="J6" s="570"/>
      <c r="K6" s="570"/>
      <c r="L6" s="570"/>
      <c r="M6" s="570"/>
      <c r="N6" s="749"/>
      <c r="O6" s="749"/>
      <c r="P6" s="749"/>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row>
    <row r="7" spans="1:122" s="564" customFormat="1" ht="24.95" customHeight="1">
      <c r="A7" s="1423"/>
      <c r="B7" s="571" t="str">
        <f>+'Scope 1 and 2 Data'!$A$12</f>
        <v>Scope 1</v>
      </c>
      <c r="C7" s="572"/>
      <c r="D7" s="1528">
        <f>+(SUM(H8:H9,H11:H12,H14:H15,H17:H19))</f>
        <v>0</v>
      </c>
      <c r="E7" s="1528"/>
      <c r="F7" s="573">
        <f>+IF($E$6&lt;&gt;0,D7/$E$6,0)</f>
        <v>0</v>
      </c>
      <c r="G7" s="1409" t="s">
        <v>2766</v>
      </c>
      <c r="H7" s="1409" t="s">
        <v>2767</v>
      </c>
      <c r="I7" s="1409"/>
      <c r="J7" s="561"/>
      <c r="K7" s="561"/>
      <c r="L7" s="561" t="s">
        <v>2768</v>
      </c>
      <c r="M7" s="561"/>
      <c r="N7" s="749"/>
      <c r="O7" s="749"/>
      <c r="P7" s="749"/>
      <c r="Q7" s="561" t="s">
        <v>2769</v>
      </c>
      <c r="R7" s="561"/>
      <c r="S7" s="561"/>
      <c r="T7" s="561"/>
      <c r="U7" s="561"/>
      <c r="V7" s="561"/>
      <c r="W7" s="561"/>
      <c r="X7" s="561"/>
      <c r="Y7" s="561"/>
      <c r="Z7" s="561"/>
      <c r="AA7" s="561"/>
      <c r="AB7" s="561"/>
      <c r="AC7" s="561"/>
      <c r="AD7" s="561"/>
      <c r="AE7" s="561"/>
      <c r="AF7" s="561"/>
      <c r="AG7" s="561"/>
      <c r="AH7" s="561"/>
      <c r="AI7" s="561"/>
      <c r="AJ7" s="561"/>
      <c r="AK7" s="561"/>
      <c r="AL7" s="561"/>
      <c r="AM7" s="561"/>
      <c r="AN7" s="561"/>
      <c r="AO7" s="561"/>
      <c r="AP7" s="561"/>
      <c r="AQ7" s="561"/>
      <c r="AR7" s="561"/>
      <c r="AS7" s="561"/>
      <c r="AT7" s="561"/>
      <c r="AU7" s="561"/>
      <c r="AV7" s="561"/>
      <c r="AW7" s="561"/>
      <c r="AX7" s="561"/>
      <c r="AY7" s="561"/>
      <c r="AZ7" s="561"/>
      <c r="BA7" s="561"/>
      <c r="BB7" s="561"/>
      <c r="BC7" s="561"/>
      <c r="BD7" s="561"/>
      <c r="BE7" s="561"/>
      <c r="BF7" s="561"/>
      <c r="BG7" s="561"/>
      <c r="BH7" s="561"/>
    </row>
    <row r="8" spans="1:122" s="564" customFormat="1" ht="21" customHeight="1">
      <c r="A8" s="1424">
        <f>+'Scope 1 and 2 Data'!A15</f>
        <v>1.1000000000000001</v>
      </c>
      <c r="B8" s="574" t="s">
        <v>4406</v>
      </c>
      <c r="C8" s="575"/>
      <c r="D8" s="1527">
        <f>+IF('Scope 1 and 2 Data'!C21&lt;&gt;'Scope 1 and 2 Data'!$B$6,'Scope 1 and 2 Data'!C21,'Scope 1 and 2 Data'!G29/1000)</f>
        <v>0</v>
      </c>
      <c r="E8" s="1527"/>
      <c r="F8" s="577">
        <f>+IF($E$6&lt;&gt;0,H8/$E$6,0)</f>
        <v>0</v>
      </c>
      <c r="G8" s="1409" t="b">
        <f>+ISNUMBER(D8)</f>
        <v>1</v>
      </c>
      <c r="H8" s="1410">
        <f>+IF(G8=TRUE,D8,0)</f>
        <v>0</v>
      </c>
      <c r="I8" s="1409"/>
      <c r="J8" s="561"/>
      <c r="K8" s="561"/>
      <c r="L8" s="561" t="s">
        <v>6</v>
      </c>
      <c r="M8" s="578" t="str">
        <f>+B8</f>
        <v>Stationary combustion</v>
      </c>
      <c r="N8" s="1406">
        <f>D8</f>
        <v>0</v>
      </c>
      <c r="O8" s="749"/>
      <c r="P8" s="749"/>
      <c r="Q8" s="561" t="str">
        <f>+B8</f>
        <v>Stationary combustion</v>
      </c>
      <c r="R8" s="561">
        <f>+H8</f>
        <v>0</v>
      </c>
      <c r="S8" s="561"/>
      <c r="T8" s="561"/>
      <c r="U8" s="561"/>
      <c r="V8" s="561"/>
      <c r="W8" s="561"/>
      <c r="X8" s="561"/>
      <c r="Y8" s="561"/>
      <c r="Z8" s="561"/>
      <c r="AA8" s="561"/>
      <c r="AB8" s="561"/>
      <c r="AC8" s="561"/>
      <c r="AD8" s="561"/>
      <c r="AE8" s="561"/>
      <c r="AF8" s="561"/>
      <c r="AG8" s="561"/>
      <c r="AH8" s="561"/>
      <c r="AI8" s="561"/>
      <c r="AJ8" s="561"/>
      <c r="AK8" s="561"/>
      <c r="AL8" s="561"/>
      <c r="AM8" s="561"/>
      <c r="AN8" s="561"/>
      <c r="AO8" s="561"/>
      <c r="AP8" s="561"/>
      <c r="AQ8" s="561"/>
      <c r="AR8" s="561"/>
      <c r="AS8" s="561"/>
      <c r="AT8" s="561"/>
      <c r="AU8" s="561"/>
      <c r="AV8" s="561"/>
      <c r="AW8" s="561"/>
      <c r="AX8" s="561"/>
      <c r="AY8" s="561"/>
      <c r="AZ8" s="561"/>
      <c r="BA8" s="561"/>
      <c r="BB8" s="561"/>
    </row>
    <row r="9" spans="1:122" s="564" customFormat="1" ht="21" customHeight="1">
      <c r="A9" s="1424" t="str">
        <f>+'Scope 1 and 2 Data'!A40</f>
        <v>1.2</v>
      </c>
      <c r="B9" s="574" t="s">
        <v>4408</v>
      </c>
      <c r="C9" s="575"/>
      <c r="D9" s="575"/>
      <c r="E9" s="576">
        <f>+IF('Scope 1 and 2 Data'!C45&lt;&gt;'Scope 1 and 2 Data'!$B$6,'Scope 1 and 2 Data'!C45,'Scope 1 and 2 Data'!H60/1000)</f>
        <v>0</v>
      </c>
      <c r="F9" s="577">
        <f>+IF($E$6&lt;&gt;0,H9/$E$6,0)</f>
        <v>0</v>
      </c>
      <c r="G9" s="1409" t="b">
        <f>+ISNUMBER(E9)</f>
        <v>1</v>
      </c>
      <c r="H9" s="1410">
        <f>+IF(G9=TRUE,E9,0)</f>
        <v>0</v>
      </c>
      <c r="I9" s="1409"/>
      <c r="J9" s="561"/>
      <c r="K9" s="561"/>
      <c r="L9" s="561" t="s">
        <v>6</v>
      </c>
      <c r="M9" s="578" t="str">
        <f>+B9</f>
        <v>Mobile combustion</v>
      </c>
      <c r="N9" s="1406">
        <f t="shared" ref="N9" si="0">E9</f>
        <v>0</v>
      </c>
      <c r="O9" s="749"/>
      <c r="P9" s="749"/>
      <c r="Q9" s="561" t="str">
        <f>+B9</f>
        <v>Mobile combustion</v>
      </c>
      <c r="R9" s="561">
        <f>+H9</f>
        <v>0</v>
      </c>
      <c r="S9" s="561"/>
      <c r="T9" s="561"/>
      <c r="U9" s="561"/>
      <c r="V9" s="561"/>
      <c r="W9" s="561"/>
      <c r="X9" s="561"/>
      <c r="Y9" s="561"/>
      <c r="Z9" s="561"/>
      <c r="AA9" s="561"/>
      <c r="AB9" s="561"/>
      <c r="AC9" s="561"/>
      <c r="AD9" s="561"/>
      <c r="AE9" s="561"/>
      <c r="AF9" s="561"/>
      <c r="AG9" s="561"/>
      <c r="AH9" s="561"/>
      <c r="AI9" s="561"/>
      <c r="AJ9" s="561"/>
      <c r="AK9" s="561"/>
      <c r="AL9" s="561"/>
      <c r="AM9" s="561"/>
      <c r="AN9" s="561"/>
      <c r="AO9" s="561"/>
      <c r="AP9" s="561"/>
      <c r="AQ9" s="561"/>
      <c r="AR9" s="561"/>
      <c r="AS9" s="561"/>
      <c r="AT9" s="561"/>
      <c r="AU9" s="561"/>
      <c r="AV9" s="561"/>
      <c r="AW9" s="561"/>
      <c r="AX9" s="561"/>
      <c r="AY9" s="561"/>
      <c r="AZ9" s="561"/>
      <c r="BA9" s="561"/>
      <c r="BB9" s="561"/>
    </row>
    <row r="10" spans="1:122" s="564" customFormat="1" ht="21" customHeight="1">
      <c r="A10" s="1425" t="str">
        <f>+'Scope 1 and 2 Data'!A67</f>
        <v>1.3</v>
      </c>
      <c r="B10" s="574" t="s">
        <v>4407</v>
      </c>
      <c r="C10" s="575"/>
      <c r="D10" s="575"/>
      <c r="E10" s="576">
        <f>+SUM(H11:H12)</f>
        <v>0</v>
      </c>
      <c r="F10" s="577">
        <f>+IF($E$6&lt;&gt;0,E10/$E$6,0)</f>
        <v>0</v>
      </c>
      <c r="G10" s="1409" t="b">
        <f>+ISNUMBER(E10)</f>
        <v>1</v>
      </c>
      <c r="H10" s="1410"/>
      <c r="I10" s="1409"/>
      <c r="J10" s="561"/>
      <c r="K10" s="561"/>
      <c r="L10" s="561" t="s">
        <v>6</v>
      </c>
      <c r="M10" s="578" t="str">
        <f>+B11</f>
        <v>Refrigerants and fire suppression</v>
      </c>
      <c r="N10" s="1406">
        <f>E11</f>
        <v>0</v>
      </c>
      <c r="O10" s="749"/>
      <c r="P10" s="749"/>
      <c r="Q10" s="578" t="str">
        <f>+B11</f>
        <v>Refrigerants and fire suppression</v>
      </c>
      <c r="R10" s="578">
        <f>+H11</f>
        <v>0</v>
      </c>
      <c r="S10" s="578"/>
      <c r="T10" s="578"/>
      <c r="U10" s="578"/>
      <c r="V10" s="578"/>
      <c r="W10" s="561"/>
      <c r="X10" s="561"/>
      <c r="Y10" s="561"/>
      <c r="Z10" s="561"/>
      <c r="AA10" s="561"/>
      <c r="AB10" s="561"/>
      <c r="AC10" s="561"/>
      <c r="AD10" s="561"/>
      <c r="AE10" s="561"/>
      <c r="AF10" s="561"/>
      <c r="AG10" s="561"/>
      <c r="AH10" s="561"/>
      <c r="AI10" s="561"/>
      <c r="AJ10" s="561"/>
      <c r="AK10" s="561"/>
      <c r="AL10" s="561"/>
      <c r="AM10" s="561"/>
      <c r="AN10" s="561"/>
      <c r="AO10" s="561"/>
      <c r="AP10" s="561"/>
      <c r="AQ10" s="561"/>
      <c r="AR10" s="561"/>
      <c r="AS10" s="561"/>
      <c r="AT10" s="561"/>
      <c r="AU10" s="561"/>
      <c r="AV10" s="561"/>
      <c r="AW10" s="561"/>
      <c r="AX10" s="561"/>
      <c r="AY10" s="561"/>
      <c r="AZ10" s="561"/>
      <c r="BA10" s="561"/>
      <c r="BB10" s="561"/>
    </row>
    <row r="11" spans="1:122" s="564" customFormat="1" ht="21" customHeight="1">
      <c r="A11" s="1426" t="str">
        <f>+'Scope 1 and 2 Data'!A68</f>
        <v>1.3.1</v>
      </c>
      <c r="B11" s="582" t="s">
        <v>4411</v>
      </c>
      <c r="C11" s="579"/>
      <c r="D11" s="579"/>
      <c r="E11" s="580">
        <f>+IF('Scope 1 and 2 Data'!C72&lt;&gt;'Scope 1 and 2 Data'!$B$6,'Scope 1 and 2 Data'!C72,'Scope 1 and 2 Data'!E78/1000)</f>
        <v>0</v>
      </c>
      <c r="F11" s="581">
        <f>+IF($E$6&lt;&gt;0,H11/$E$6,0)</f>
        <v>0</v>
      </c>
      <c r="G11" s="1409" t="b">
        <f>+ISNUMBER(E11)</f>
        <v>1</v>
      </c>
      <c r="H11" s="1410">
        <f>+IF(G11=TRUE,E11,0)</f>
        <v>0</v>
      </c>
      <c r="I11" s="1409"/>
      <c r="J11" s="561"/>
      <c r="K11" s="561"/>
      <c r="L11" s="561" t="s">
        <v>7</v>
      </c>
      <c r="M11" s="578" t="str">
        <f>+B21</f>
        <v>Purchased electricity</v>
      </c>
      <c r="N11" s="1406">
        <f>E21</f>
        <v>0</v>
      </c>
      <c r="O11" s="749"/>
      <c r="P11" s="749"/>
      <c r="Q11" s="578" t="str">
        <f>+B12</f>
        <v>Inhaled anesthetic gases</v>
      </c>
      <c r="R11" s="578">
        <f>+H12</f>
        <v>0</v>
      </c>
      <c r="S11" s="578"/>
      <c r="T11" s="578"/>
      <c r="U11" s="578"/>
      <c r="V11" s="578"/>
      <c r="W11" s="561"/>
      <c r="X11" s="561"/>
      <c r="Y11" s="561"/>
      <c r="Z11" s="561"/>
      <c r="AA11" s="561"/>
      <c r="AB11" s="561"/>
      <c r="AC11" s="561"/>
      <c r="AD11" s="561"/>
      <c r="AE11" s="561"/>
      <c r="AF11" s="561"/>
      <c r="AG11" s="561"/>
      <c r="AH11" s="561"/>
      <c r="AI11" s="561"/>
      <c r="AJ11" s="561"/>
      <c r="AK11" s="561"/>
      <c r="AL11" s="561"/>
      <c r="AM11" s="561"/>
      <c r="AN11" s="561"/>
      <c r="AO11" s="561"/>
      <c r="AP11" s="561"/>
      <c r="AQ11" s="561"/>
      <c r="AR11" s="561"/>
      <c r="AS11" s="561"/>
      <c r="AT11" s="561"/>
      <c r="AU11" s="561"/>
      <c r="AV11" s="561"/>
      <c r="AW11" s="561"/>
      <c r="AX11" s="561"/>
      <c r="AY11" s="561"/>
      <c r="AZ11" s="561"/>
      <c r="BA11" s="561"/>
      <c r="BB11" s="561"/>
      <c r="BC11" s="561"/>
      <c r="BD11" s="561"/>
      <c r="BE11" s="561"/>
      <c r="BF11" s="561"/>
      <c r="BG11" s="561"/>
      <c r="BH11" s="561"/>
      <c r="BI11" s="561"/>
      <c r="BJ11" s="561"/>
      <c r="BK11" s="561"/>
      <c r="BL11" s="561"/>
      <c r="BM11" s="561"/>
      <c r="BN11" s="561"/>
      <c r="BO11" s="561"/>
      <c r="BP11" s="561"/>
      <c r="BQ11" s="561"/>
      <c r="BR11" s="561"/>
      <c r="BS11" s="561"/>
      <c r="BT11" s="561"/>
      <c r="BU11" s="561"/>
      <c r="BV11" s="561"/>
      <c r="BW11" s="561"/>
      <c r="BX11" s="561"/>
      <c r="BY11" s="561"/>
      <c r="BZ11" s="561"/>
      <c r="CA11" s="561"/>
      <c r="CB11" s="561"/>
      <c r="CC11" s="561"/>
      <c r="CD11" s="561"/>
      <c r="CE11" s="561"/>
      <c r="CF11" s="561"/>
      <c r="CG11" s="561"/>
      <c r="CH11" s="561"/>
      <c r="CI11" s="561"/>
      <c r="CJ11" s="561"/>
      <c r="CK11" s="561"/>
      <c r="CL11" s="561"/>
      <c r="CM11" s="561"/>
      <c r="CN11" s="561"/>
      <c r="CO11" s="561"/>
      <c r="CP11" s="561"/>
      <c r="CQ11" s="561"/>
      <c r="CR11" s="561"/>
      <c r="CS11" s="561"/>
      <c r="CT11" s="561"/>
      <c r="CU11" s="561"/>
      <c r="CV11" s="561"/>
      <c r="CW11" s="561"/>
      <c r="CX11" s="561"/>
      <c r="CY11" s="561"/>
      <c r="CZ11" s="561"/>
      <c r="DA11" s="561"/>
      <c r="DB11" s="561"/>
      <c r="DC11" s="561"/>
      <c r="DD11" s="561"/>
      <c r="DE11" s="561"/>
      <c r="DF11" s="561"/>
      <c r="DG11" s="561"/>
      <c r="DH11" s="561"/>
      <c r="DI11" s="561"/>
      <c r="DJ11" s="561"/>
    </row>
    <row r="12" spans="1:122" s="564" customFormat="1" ht="21" customHeight="1">
      <c r="A12" s="1426" t="str">
        <f>+'Scope 1 and 2 Data'!A215</f>
        <v>1.3.2</v>
      </c>
      <c r="B12" s="582" t="s">
        <v>4410</v>
      </c>
      <c r="C12" s="579"/>
      <c r="D12" s="579"/>
      <c r="E12" s="580">
        <f>+IF('Scope 1 and 2 Data'!C219&lt;&gt;'Scope 1 and 2 Data'!$B$6,'Scope 1 and 2 Data'!C219,'Scope 1 and 2 Data'!D227/1000)</f>
        <v>0</v>
      </c>
      <c r="F12" s="581">
        <f>+IF($E$6&lt;&gt;0,H12/$E$6,0)</f>
        <v>0</v>
      </c>
      <c r="G12" s="1409" t="b">
        <f>+ISNUMBER(E12)</f>
        <v>1</v>
      </c>
      <c r="H12" s="1410">
        <f>+IF(G12=TRUE,E12,0)</f>
        <v>0</v>
      </c>
      <c r="I12" s="1409"/>
      <c r="J12" s="561"/>
      <c r="K12" s="561"/>
      <c r="L12" s="561" t="s">
        <v>7</v>
      </c>
      <c r="M12" s="578" t="str">
        <f>+B22</f>
        <v>Purchased steam, hot and chilled water</v>
      </c>
      <c r="N12" s="1406">
        <f>E22</f>
        <v>0</v>
      </c>
      <c r="O12" s="749"/>
      <c r="P12" s="749"/>
      <c r="Q12" s="561" t="str">
        <f>+B21</f>
        <v>Purchased electricity</v>
      </c>
      <c r="R12" s="561">
        <f>+H21</f>
        <v>0</v>
      </c>
      <c r="S12" s="561"/>
      <c r="T12" s="561"/>
      <c r="U12" s="561"/>
      <c r="V12" s="561"/>
      <c r="W12" s="561"/>
      <c r="X12" s="561"/>
      <c r="Y12" s="561"/>
      <c r="Z12" s="561"/>
      <c r="AA12" s="561"/>
      <c r="AB12" s="561"/>
      <c r="AC12" s="561"/>
      <c r="AD12" s="561"/>
      <c r="AE12" s="561"/>
      <c r="AF12" s="561"/>
      <c r="AG12" s="561"/>
      <c r="AH12" s="561"/>
      <c r="AI12" s="561"/>
      <c r="AJ12" s="561"/>
      <c r="AK12" s="561"/>
      <c r="AL12" s="561"/>
      <c r="AM12" s="561"/>
      <c r="AN12" s="561"/>
      <c r="AO12" s="561"/>
      <c r="AP12" s="561"/>
      <c r="AQ12" s="561"/>
      <c r="AR12" s="561"/>
      <c r="AS12" s="561"/>
      <c r="AT12" s="561"/>
      <c r="AU12" s="561"/>
      <c r="AV12" s="561"/>
      <c r="AW12" s="561"/>
      <c r="AX12" s="561"/>
      <c r="AY12" s="561"/>
      <c r="AZ12" s="561"/>
      <c r="BA12" s="561"/>
      <c r="BB12" s="561"/>
      <c r="BC12" s="561"/>
      <c r="BD12" s="561"/>
      <c r="BE12" s="561"/>
      <c r="BF12" s="561"/>
      <c r="BG12" s="561"/>
      <c r="BH12" s="561"/>
      <c r="BI12" s="561"/>
      <c r="BJ12" s="561"/>
      <c r="BK12" s="561"/>
      <c r="BL12" s="561"/>
      <c r="BM12" s="561"/>
      <c r="BN12" s="561"/>
      <c r="BO12" s="561"/>
      <c r="BP12" s="561"/>
      <c r="BQ12" s="561"/>
      <c r="BR12" s="561"/>
      <c r="BS12" s="561"/>
      <c r="BT12" s="561"/>
      <c r="BU12" s="561"/>
      <c r="BV12" s="561"/>
      <c r="BW12" s="561"/>
      <c r="BX12" s="561"/>
      <c r="BY12" s="561"/>
      <c r="BZ12" s="561"/>
      <c r="CA12" s="561"/>
      <c r="CB12" s="561"/>
      <c r="CC12" s="561"/>
      <c r="CD12" s="561"/>
      <c r="CE12" s="561"/>
      <c r="CF12" s="561"/>
      <c r="CG12" s="561"/>
      <c r="CH12" s="561"/>
      <c r="CI12" s="561"/>
      <c r="CJ12" s="561"/>
      <c r="CK12" s="561"/>
      <c r="CL12" s="561"/>
      <c r="CM12" s="561"/>
      <c r="CN12" s="561"/>
      <c r="CO12" s="561"/>
      <c r="CP12" s="561"/>
      <c r="CQ12" s="561"/>
      <c r="CR12" s="561"/>
      <c r="CS12" s="561"/>
      <c r="CT12" s="561"/>
      <c r="CU12" s="561"/>
      <c r="CV12" s="561"/>
      <c r="CW12" s="561"/>
      <c r="CX12" s="561"/>
      <c r="CY12" s="561"/>
      <c r="CZ12" s="561"/>
      <c r="DA12" s="561"/>
      <c r="DB12" s="561"/>
      <c r="DC12" s="561"/>
      <c r="DD12" s="561"/>
      <c r="DE12" s="561"/>
      <c r="DF12" s="561"/>
      <c r="DG12" s="561"/>
      <c r="DH12" s="561"/>
      <c r="DI12" s="561"/>
      <c r="DJ12" s="561"/>
    </row>
    <row r="13" spans="1:122" s="564" customFormat="1" ht="18.95" customHeight="1">
      <c r="A13" s="1426"/>
      <c r="B13" s="574"/>
      <c r="C13" s="575"/>
      <c r="D13" s="575"/>
      <c r="E13" s="576"/>
      <c r="F13" s="577"/>
      <c r="G13" s="1409"/>
      <c r="H13" s="1409"/>
      <c r="I13" s="1409"/>
      <c r="J13" s="561"/>
      <c r="K13" s="561"/>
      <c r="L13" s="561" t="str">
        <f>+$B$23</f>
        <v>Scope 3</v>
      </c>
      <c r="M13" s="578" t="str">
        <f>+B24</f>
        <v>Purchased goods &amp; services</v>
      </c>
      <c r="N13" s="1406">
        <f>E24</f>
        <v>0</v>
      </c>
      <c r="O13" s="749"/>
      <c r="P13" s="749"/>
      <c r="Q13" s="561" t="str">
        <f>+B22</f>
        <v>Purchased steam, hot and chilled water</v>
      </c>
      <c r="R13" s="561">
        <f>+H22</f>
        <v>0</v>
      </c>
      <c r="S13" s="561"/>
      <c r="T13" s="561"/>
      <c r="U13" s="561"/>
      <c r="V13" s="561"/>
      <c r="W13" s="561"/>
      <c r="X13" s="561"/>
      <c r="Y13" s="561"/>
      <c r="Z13" s="561"/>
      <c r="AA13" s="561"/>
      <c r="AB13" s="561"/>
      <c r="AC13" s="561"/>
      <c r="AD13" s="561"/>
      <c r="AE13" s="561"/>
      <c r="AF13" s="561"/>
      <c r="AG13" s="561"/>
      <c r="AH13" s="561"/>
      <c r="AI13" s="561"/>
      <c r="AJ13" s="561"/>
      <c r="AK13" s="561"/>
      <c r="AL13" s="561"/>
      <c r="AM13" s="561"/>
      <c r="AN13" s="561"/>
      <c r="AO13" s="561"/>
      <c r="AP13" s="561"/>
      <c r="AQ13" s="561"/>
      <c r="AR13" s="561"/>
      <c r="AS13" s="561"/>
      <c r="AT13" s="561"/>
      <c r="AU13" s="561"/>
      <c r="AV13" s="561"/>
      <c r="AW13" s="561"/>
      <c r="AX13" s="561"/>
      <c r="AY13" s="561"/>
      <c r="AZ13" s="561"/>
      <c r="BA13" s="561"/>
      <c r="BB13" s="561"/>
    </row>
    <row r="14" spans="1:122" s="564" customFormat="1" ht="18.95" customHeight="1">
      <c r="A14" s="1426"/>
      <c r="B14" s="582"/>
      <c r="C14" s="575"/>
      <c r="D14" s="575"/>
      <c r="E14" s="583"/>
      <c r="F14" s="581"/>
      <c r="G14" s="1409"/>
      <c r="H14" s="1409"/>
      <c r="I14" s="1409"/>
      <c r="J14" s="561"/>
      <c r="K14" s="561"/>
      <c r="L14" s="561" t="str">
        <f t="shared" ref="L14:L24" si="1">+$B$23</f>
        <v>Scope 3</v>
      </c>
      <c r="M14" s="578" t="str">
        <f t="shared" ref="M14:M21" si="2">+B25</f>
        <v>Capital goods</v>
      </c>
      <c r="N14" s="1406">
        <f t="shared" ref="N14:N21" si="3">E25</f>
        <v>0</v>
      </c>
      <c r="O14" s="749"/>
      <c r="P14" s="749"/>
      <c r="Q14" s="561"/>
      <c r="R14" s="561"/>
      <c r="S14" s="561"/>
      <c r="T14" s="561"/>
      <c r="U14" s="561"/>
      <c r="V14" s="561"/>
      <c r="W14" s="561"/>
      <c r="X14" s="561"/>
      <c r="Y14" s="561"/>
      <c r="Z14" s="561"/>
      <c r="AA14" s="561"/>
      <c r="AB14" s="561"/>
      <c r="AC14" s="561"/>
      <c r="AD14" s="561"/>
      <c r="AE14" s="561"/>
      <c r="AF14" s="561"/>
      <c r="AG14" s="561"/>
      <c r="AH14" s="561"/>
      <c r="AI14" s="561"/>
      <c r="AJ14" s="561"/>
      <c r="AK14" s="561"/>
      <c r="AL14" s="561"/>
      <c r="AM14" s="561"/>
      <c r="AN14" s="561"/>
      <c r="AO14" s="561"/>
      <c r="AP14" s="561"/>
      <c r="AQ14" s="561"/>
      <c r="AR14" s="561"/>
      <c r="AS14" s="561"/>
      <c r="AT14" s="561"/>
      <c r="AU14" s="561"/>
      <c r="AV14" s="561"/>
      <c r="AW14" s="561"/>
      <c r="AX14" s="561"/>
      <c r="AY14" s="561"/>
      <c r="AZ14" s="561"/>
      <c r="BA14" s="561"/>
      <c r="BB14" s="561"/>
    </row>
    <row r="15" spans="1:122" s="564" customFormat="1" ht="18.95" customHeight="1">
      <c r="A15" s="1426"/>
      <c r="B15" s="584"/>
      <c r="C15" s="575"/>
      <c r="D15" s="575"/>
      <c r="E15" s="580"/>
      <c r="F15" s="581"/>
      <c r="G15" s="1409"/>
      <c r="H15" s="1409"/>
      <c r="I15" s="1409"/>
      <c r="J15" s="561"/>
      <c r="K15" s="561"/>
      <c r="L15" s="561" t="str">
        <f t="shared" si="1"/>
        <v>Scope 3</v>
      </c>
      <c r="M15" s="578" t="str">
        <f t="shared" si="2"/>
        <v>Fuel- &amp; energy-related emissions</v>
      </c>
      <c r="N15" s="1406">
        <f t="shared" si="3"/>
        <v>4645.4736823110006</v>
      </c>
      <c r="O15" s="749"/>
      <c r="P15" s="749"/>
      <c r="Q15" s="561"/>
      <c r="R15" s="561"/>
      <c r="S15" s="561"/>
      <c r="T15" s="561"/>
      <c r="U15" s="561"/>
      <c r="V15" s="561"/>
      <c r="W15" s="561"/>
      <c r="X15" s="561"/>
      <c r="Y15" s="561"/>
      <c r="Z15" s="561"/>
      <c r="AA15" s="561"/>
      <c r="AB15" s="561"/>
      <c r="AC15" s="561"/>
      <c r="AD15" s="561"/>
      <c r="AE15" s="561"/>
      <c r="AF15" s="561"/>
      <c r="AG15" s="561"/>
      <c r="AH15" s="561"/>
      <c r="AI15" s="561"/>
      <c r="AJ15" s="561"/>
      <c r="AK15" s="561"/>
      <c r="AL15" s="561"/>
      <c r="AM15" s="561"/>
      <c r="AN15" s="561"/>
      <c r="AO15" s="561"/>
      <c r="AP15" s="561"/>
      <c r="AQ15" s="561"/>
      <c r="AR15" s="561"/>
      <c r="AS15" s="561"/>
      <c r="AT15" s="561"/>
      <c r="AU15" s="561"/>
      <c r="AV15" s="561"/>
      <c r="AW15" s="561"/>
      <c r="AX15" s="561"/>
      <c r="AY15" s="561"/>
      <c r="AZ15" s="561"/>
      <c r="BA15" s="561"/>
      <c r="BB15" s="561"/>
    </row>
    <row r="16" spans="1:122" s="564" customFormat="1" ht="18.95" customHeight="1">
      <c r="A16" s="1426"/>
      <c r="B16" s="582"/>
      <c r="C16" s="575"/>
      <c r="D16" s="575"/>
      <c r="E16" s="583"/>
      <c r="F16" s="581"/>
      <c r="G16" s="1409"/>
      <c r="H16" s="1409"/>
      <c r="I16" s="1409"/>
      <c r="J16" s="561"/>
      <c r="K16" s="561"/>
      <c r="L16" s="561" t="str">
        <f t="shared" si="1"/>
        <v>Scope 3</v>
      </c>
      <c r="M16" s="578" t="str">
        <f t="shared" si="2"/>
        <v>Upstream transportation &amp; distribution</v>
      </c>
      <c r="N16" s="1406">
        <f t="shared" si="3"/>
        <v>0</v>
      </c>
      <c r="O16" s="749"/>
      <c r="P16" s="749"/>
      <c r="Q16" s="561"/>
      <c r="R16" s="561"/>
      <c r="S16" s="561"/>
      <c r="T16" s="561"/>
      <c r="U16" s="561"/>
      <c r="V16" s="561"/>
      <c r="W16" s="561"/>
      <c r="X16" s="561"/>
      <c r="Y16" s="561"/>
      <c r="Z16" s="561"/>
      <c r="AA16" s="561"/>
      <c r="AB16" s="561"/>
      <c r="AC16" s="561"/>
      <c r="AD16" s="561"/>
      <c r="AE16" s="561"/>
      <c r="AF16" s="561"/>
      <c r="AG16" s="561"/>
      <c r="AH16" s="561"/>
      <c r="AI16" s="561"/>
      <c r="AJ16" s="561"/>
      <c r="AK16" s="561"/>
      <c r="AL16" s="561"/>
      <c r="AM16" s="561"/>
      <c r="AN16" s="561"/>
      <c r="AO16" s="561"/>
      <c r="AP16" s="561"/>
      <c r="AQ16" s="561"/>
      <c r="AR16" s="561"/>
      <c r="AS16" s="561"/>
      <c r="AT16" s="561"/>
      <c r="AU16" s="561"/>
      <c r="AV16" s="561"/>
      <c r="AW16" s="561"/>
      <c r="AX16" s="561"/>
      <c r="AY16" s="561"/>
      <c r="AZ16" s="561"/>
      <c r="BA16" s="561"/>
      <c r="BB16" s="561"/>
    </row>
    <row r="17" spans="1:63" s="564" customFormat="1" ht="18.95" customHeight="1">
      <c r="A17" s="1426"/>
      <c r="B17" s="585"/>
      <c r="C17" s="575"/>
      <c r="D17" s="575"/>
      <c r="E17" s="586"/>
      <c r="F17" s="587"/>
      <c r="G17" s="1409"/>
      <c r="H17" s="1409"/>
      <c r="I17" s="1409"/>
      <c r="J17" s="561"/>
      <c r="K17" s="561"/>
      <c r="L17" s="561" t="str">
        <f t="shared" si="1"/>
        <v>Scope 3</v>
      </c>
      <c r="M17" s="578" t="str">
        <f t="shared" si="2"/>
        <v>Waste generated in operations</v>
      </c>
      <c r="N17" s="1406">
        <f t="shared" si="3"/>
        <v>0</v>
      </c>
      <c r="O17" s="749"/>
      <c r="P17" s="749"/>
      <c r="Q17" s="561"/>
      <c r="R17" s="561"/>
      <c r="S17" s="561"/>
      <c r="T17" s="561"/>
      <c r="U17" s="561"/>
      <c r="V17" s="561"/>
      <c r="W17" s="561"/>
      <c r="X17" s="561"/>
      <c r="Y17" s="561"/>
      <c r="Z17" s="561"/>
      <c r="AA17" s="561"/>
      <c r="AB17" s="561"/>
      <c r="AC17" s="561"/>
      <c r="AD17" s="561"/>
      <c r="AE17" s="561"/>
      <c r="AF17" s="561"/>
      <c r="AG17" s="561"/>
      <c r="AH17" s="561"/>
      <c r="AI17" s="561"/>
      <c r="AJ17" s="561"/>
      <c r="AK17" s="561"/>
      <c r="AL17" s="561"/>
      <c r="AM17" s="561"/>
      <c r="AN17" s="561"/>
      <c r="AO17" s="561"/>
      <c r="AP17" s="561"/>
      <c r="AQ17" s="561"/>
      <c r="AR17" s="561"/>
      <c r="AS17" s="561"/>
      <c r="AT17" s="561"/>
      <c r="AU17" s="561"/>
      <c r="AV17" s="561"/>
      <c r="AW17" s="561"/>
      <c r="AX17" s="561"/>
      <c r="AY17" s="561"/>
      <c r="AZ17" s="561"/>
      <c r="BA17" s="561"/>
      <c r="BB17" s="561"/>
    </row>
    <row r="18" spans="1:63" s="564" customFormat="1" ht="15">
      <c r="A18" s="1426"/>
      <c r="B18" s="588"/>
      <c r="C18" s="589"/>
      <c r="D18" s="575"/>
      <c r="E18" s="586"/>
      <c r="F18" s="587"/>
      <c r="G18" s="1409"/>
      <c r="H18" s="1409"/>
      <c r="I18" s="1409"/>
      <c r="J18" s="561"/>
      <c r="K18" s="561"/>
      <c r="L18" s="561" t="str">
        <f t="shared" si="1"/>
        <v>Scope 3</v>
      </c>
      <c r="M18" s="578" t="str">
        <f t="shared" si="2"/>
        <v>Business travel</v>
      </c>
      <c r="N18" s="1406">
        <f t="shared" si="3"/>
        <v>0</v>
      </c>
      <c r="O18" s="749"/>
      <c r="P18" s="749"/>
      <c r="Q18" s="561"/>
      <c r="R18" s="561"/>
      <c r="S18" s="561"/>
      <c r="T18" s="561"/>
      <c r="U18" s="561"/>
      <c r="V18" s="561"/>
      <c r="W18" s="561"/>
      <c r="X18" s="561"/>
      <c r="Y18" s="561"/>
      <c r="Z18" s="561"/>
      <c r="AA18" s="561"/>
      <c r="AB18" s="561"/>
      <c r="AC18" s="561"/>
      <c r="AD18" s="561"/>
      <c r="AE18" s="561"/>
      <c r="AF18" s="561"/>
      <c r="AG18" s="561"/>
      <c r="AH18" s="561"/>
      <c r="AI18" s="561"/>
      <c r="AJ18" s="561"/>
      <c r="AK18" s="561"/>
      <c r="AL18" s="561"/>
      <c r="AM18" s="561"/>
      <c r="AN18" s="561"/>
      <c r="AO18" s="561"/>
      <c r="AP18" s="561"/>
      <c r="AQ18" s="561"/>
      <c r="AR18" s="561"/>
      <c r="AS18" s="561"/>
      <c r="AT18" s="561"/>
      <c r="AU18" s="561"/>
      <c r="AV18" s="561"/>
      <c r="AW18" s="561"/>
      <c r="AX18" s="561"/>
      <c r="AY18" s="561"/>
      <c r="AZ18" s="561"/>
      <c r="BA18" s="561"/>
      <c r="BB18" s="561"/>
    </row>
    <row r="19" spans="1:63" s="564" customFormat="1" ht="15">
      <c r="A19" s="1426"/>
      <c r="B19" s="588"/>
      <c r="C19" s="575"/>
      <c r="D19" s="589"/>
      <c r="E19" s="590"/>
      <c r="F19" s="587"/>
      <c r="G19" s="1409"/>
      <c r="H19" s="1409"/>
      <c r="I19" s="1409"/>
      <c r="J19" s="561"/>
      <c r="K19" s="561"/>
      <c r="L19" s="561" t="str">
        <f t="shared" si="1"/>
        <v>Scope 3</v>
      </c>
      <c r="M19" s="578" t="str">
        <f t="shared" si="2"/>
        <v>Employee commuting</v>
      </c>
      <c r="N19" s="1406">
        <f t="shared" si="3"/>
        <v>0</v>
      </c>
      <c r="O19" s="749"/>
      <c r="P19" s="749"/>
      <c r="Q19" s="561"/>
      <c r="R19" s="561"/>
      <c r="S19" s="561"/>
      <c r="T19" s="561"/>
      <c r="U19" s="561"/>
      <c r="V19" s="561"/>
      <c r="W19" s="561"/>
      <c r="X19" s="561"/>
      <c r="Y19" s="561"/>
      <c r="Z19" s="561"/>
      <c r="AA19" s="561"/>
      <c r="AB19" s="561"/>
      <c r="AC19" s="561"/>
      <c r="AD19" s="561"/>
      <c r="AE19" s="561"/>
      <c r="AF19" s="561"/>
      <c r="AG19" s="561"/>
      <c r="AH19" s="561"/>
      <c r="AI19" s="561"/>
      <c r="AJ19" s="561"/>
      <c r="AK19" s="561"/>
      <c r="AL19" s="561"/>
      <c r="AM19" s="561"/>
      <c r="AN19" s="561"/>
      <c r="AO19" s="561"/>
      <c r="AP19" s="561"/>
      <c r="AQ19" s="561"/>
      <c r="AR19" s="561"/>
      <c r="AS19" s="561"/>
      <c r="AT19" s="561"/>
      <c r="AU19" s="561"/>
      <c r="AV19" s="561"/>
      <c r="AW19" s="561"/>
      <c r="AX19" s="561"/>
      <c r="AY19" s="561"/>
      <c r="AZ19" s="561"/>
      <c r="BA19" s="561"/>
      <c r="BB19" s="561"/>
    </row>
    <row r="20" spans="1:63" s="564" customFormat="1" ht="24.95" customHeight="1">
      <c r="A20" s="1427"/>
      <c r="B20" s="591" t="str">
        <f>+'Scope 1 and 2 Data'!A235</f>
        <v>Scope 2</v>
      </c>
      <c r="C20" s="592"/>
      <c r="D20" s="1530">
        <f>+SUM(H21:H22)</f>
        <v>0</v>
      </c>
      <c r="E20" s="1530"/>
      <c r="F20" s="593">
        <f>+IF($E$6&lt;&gt;0,D20/$E$6,0)</f>
        <v>0</v>
      </c>
      <c r="G20" s="1409"/>
      <c r="H20" s="1409"/>
      <c r="I20" s="1409"/>
      <c r="J20" s="561"/>
      <c r="K20" s="561"/>
      <c r="L20" s="561" t="str">
        <f t="shared" si="1"/>
        <v>Scope 3</v>
      </c>
      <c r="M20" s="578" t="str">
        <f t="shared" si="2"/>
        <v>Upstream leased assets</v>
      </c>
      <c r="N20" s="1406">
        <f t="shared" si="3"/>
        <v>0</v>
      </c>
      <c r="O20" s="749"/>
      <c r="P20" s="749"/>
      <c r="Q20" s="561"/>
      <c r="R20" s="561"/>
      <c r="S20" s="561"/>
      <c r="T20" s="561"/>
      <c r="U20" s="561"/>
      <c r="V20" s="561"/>
      <c r="W20" s="561"/>
      <c r="X20" s="561"/>
      <c r="Y20" s="561"/>
      <c r="Z20" s="561"/>
      <c r="AA20" s="561"/>
      <c r="AB20" s="561"/>
      <c r="AC20" s="561"/>
      <c r="AD20" s="561"/>
      <c r="AE20" s="561"/>
      <c r="AF20" s="561"/>
      <c r="AG20" s="561"/>
      <c r="AH20" s="561"/>
      <c r="AI20" s="561"/>
      <c r="AJ20" s="561"/>
      <c r="AK20" s="561"/>
      <c r="AL20" s="561"/>
      <c r="AM20" s="561"/>
      <c r="AN20" s="561"/>
      <c r="AO20" s="561"/>
      <c r="AP20" s="561"/>
      <c r="AQ20" s="561"/>
      <c r="AR20" s="561"/>
      <c r="AS20" s="561"/>
      <c r="AT20" s="561"/>
      <c r="AU20" s="561"/>
      <c r="AV20" s="561"/>
      <c r="AW20" s="561"/>
      <c r="AX20" s="561"/>
      <c r="AY20" s="561"/>
      <c r="AZ20" s="561"/>
      <c r="BA20" s="561"/>
      <c r="BB20" s="561"/>
    </row>
    <row r="21" spans="1:63" s="564" customFormat="1" ht="21" customHeight="1">
      <c r="A21" s="1428" t="str">
        <f>+'Scope 1 and 2 Data'!A238</f>
        <v>2.1</v>
      </c>
      <c r="B21" s="594" t="s">
        <v>4404</v>
      </c>
      <c r="C21" s="595"/>
      <c r="D21" s="595"/>
      <c r="E21" s="1439">
        <f>+IF('Scope 1 and 2 Data'!C242&lt;&gt;'Scope 1 and 2 Data'!$B$6,'Scope 1 and 2 Data'!C242,SUM('Scope 1 and 2 Data'!F248/1000,'Scope 1 and 2 Data'!F249/1000))</f>
        <v>0</v>
      </c>
      <c r="F21" s="596">
        <f>+IF($E$6&lt;&gt;0,H21/$E$6,0)</f>
        <v>0</v>
      </c>
      <c r="G21" s="1409" t="b">
        <f>+ISNUMBER(E21)</f>
        <v>1</v>
      </c>
      <c r="H21" s="1409">
        <f>+IF(G21=TRUE,E21,0)</f>
        <v>0</v>
      </c>
      <c r="I21" s="1409"/>
      <c r="J21" s="561"/>
      <c r="K21" s="561"/>
      <c r="L21" s="561" t="str">
        <f t="shared" si="1"/>
        <v>Scope 3</v>
      </c>
      <c r="M21" s="578" t="str">
        <f t="shared" si="2"/>
        <v>Downstream transportation &amp; distribution
[Patient Visits &amp; Telehealth]</v>
      </c>
      <c r="N21" s="1406">
        <f t="shared" si="3"/>
        <v>0</v>
      </c>
      <c r="O21" s="749"/>
      <c r="P21" s="749"/>
      <c r="Q21" s="561"/>
      <c r="R21" s="561"/>
      <c r="S21" s="561"/>
      <c r="T21" s="561"/>
      <c r="U21" s="561"/>
      <c r="V21" s="561"/>
      <c r="W21" s="561"/>
      <c r="X21" s="561"/>
      <c r="Y21" s="561"/>
      <c r="Z21" s="561"/>
      <c r="AA21" s="561"/>
      <c r="AB21" s="561"/>
      <c r="AC21" s="561"/>
      <c r="AD21" s="561"/>
      <c r="AE21" s="561"/>
      <c r="AF21" s="561"/>
      <c r="AG21" s="561"/>
      <c r="AH21" s="561"/>
      <c r="AI21" s="561"/>
      <c r="AJ21" s="561"/>
      <c r="AK21" s="561"/>
      <c r="AL21" s="561"/>
      <c r="AM21" s="561"/>
      <c r="AN21" s="561"/>
      <c r="AO21" s="561"/>
      <c r="AP21" s="561"/>
      <c r="AQ21" s="561"/>
      <c r="AR21" s="561"/>
      <c r="AS21" s="561"/>
      <c r="AT21" s="561"/>
      <c r="AU21" s="561"/>
      <c r="AV21" s="561"/>
      <c r="AW21" s="561"/>
      <c r="AX21" s="561"/>
      <c r="AY21" s="561"/>
      <c r="AZ21" s="561"/>
      <c r="BA21" s="561"/>
      <c r="BB21" s="561"/>
    </row>
    <row r="22" spans="1:63" s="564" customFormat="1" ht="21" customHeight="1">
      <c r="A22" s="1428" t="str">
        <f>+'Scope 1 and 2 Data'!A251</f>
        <v>2.2</v>
      </c>
      <c r="B22" s="594" t="s">
        <v>4405</v>
      </c>
      <c r="C22" s="595"/>
      <c r="D22" s="595"/>
      <c r="E22" s="1439">
        <f>+IF('Scope 1 and 2 Data'!C255&lt;&gt;'Scope 1 and 2 Data'!$B$6,'Scope 1 and 2 Data'!C255,'Scope 1 and 2 Data'!E263/1000)</f>
        <v>0</v>
      </c>
      <c r="F22" s="596">
        <f>+IF($E$6&lt;&gt;0,H22/$E$6,0)</f>
        <v>0</v>
      </c>
      <c r="G22" s="1409" t="b">
        <f>+ISNUMBER(E22)</f>
        <v>1</v>
      </c>
      <c r="H22" s="1409">
        <f>+IF(G22=TRUE,E22,0)</f>
        <v>0</v>
      </c>
      <c r="I22" s="561"/>
      <c r="J22" s="561"/>
      <c r="K22" s="561"/>
      <c r="L22" s="561" t="str">
        <f t="shared" si="1"/>
        <v>Scope 3</v>
      </c>
      <c r="M22" s="578" t="str">
        <f>+B34</f>
        <v>Use of sold products</v>
      </c>
      <c r="N22" s="1406">
        <f>E34</f>
        <v>0</v>
      </c>
      <c r="O22" s="749"/>
      <c r="P22" s="749"/>
      <c r="Q22" s="561"/>
      <c r="R22" s="561"/>
      <c r="S22" s="561"/>
      <c r="T22" s="561"/>
      <c r="U22" s="561"/>
      <c r="V22" s="561"/>
      <c r="W22" s="561"/>
      <c r="X22" s="561"/>
      <c r="Y22" s="561"/>
      <c r="Z22" s="561"/>
      <c r="AA22" s="561"/>
      <c r="AB22" s="561"/>
      <c r="AC22" s="561"/>
      <c r="AD22" s="561"/>
      <c r="AE22" s="561"/>
      <c r="AF22" s="561"/>
      <c r="AG22" s="561"/>
      <c r="AH22" s="561"/>
      <c r="AI22" s="561"/>
      <c r="AJ22" s="561"/>
      <c r="AK22" s="561"/>
      <c r="AL22" s="561"/>
      <c r="AM22" s="561"/>
      <c r="AN22" s="561"/>
      <c r="AO22" s="561"/>
      <c r="AP22" s="561"/>
      <c r="AQ22" s="561"/>
      <c r="AR22" s="561"/>
      <c r="AS22" s="561"/>
      <c r="AT22" s="561"/>
      <c r="AU22" s="561"/>
      <c r="AV22" s="561"/>
      <c r="AW22" s="561"/>
      <c r="AX22" s="561"/>
      <c r="AY22" s="561"/>
      <c r="AZ22" s="561"/>
      <c r="BA22" s="561"/>
      <c r="BB22" s="561"/>
    </row>
    <row r="23" spans="1:63" s="564" customFormat="1" ht="24.95" customHeight="1">
      <c r="A23" s="1429"/>
      <c r="B23" s="597" t="s">
        <v>1211</v>
      </c>
      <c r="C23" s="598"/>
      <c r="D23" s="1529">
        <f>SUM(E24:E38)</f>
        <v>4645.4736823110006</v>
      </c>
      <c r="E23" s="1529"/>
      <c r="F23" s="599">
        <f>+IF($E$6&lt;&gt;0,D23/$E$6,0)</f>
        <v>1</v>
      </c>
      <c r="G23" s="1409"/>
      <c r="H23" s="1409"/>
      <c r="I23" s="1409"/>
      <c r="J23" s="561"/>
      <c r="K23" s="561"/>
      <c r="L23" s="561" t="str">
        <f t="shared" si="1"/>
        <v>Scope 3</v>
      </c>
      <c r="M23" s="578" t="str">
        <f>+B36</f>
        <v>Downstream leased assets</v>
      </c>
      <c r="N23" s="1406">
        <f>E36</f>
        <v>0</v>
      </c>
      <c r="O23" s="749"/>
      <c r="P23" s="749"/>
      <c r="Q23" s="561"/>
      <c r="R23" s="561"/>
      <c r="S23" s="561"/>
      <c r="T23" s="561"/>
      <c r="U23" s="561"/>
      <c r="V23" s="561"/>
      <c r="W23" s="561"/>
      <c r="X23" s="561"/>
      <c r="Y23" s="561"/>
      <c r="Z23" s="561"/>
      <c r="AA23" s="561"/>
      <c r="AB23" s="561"/>
      <c r="AC23" s="561"/>
      <c r="AD23" s="561"/>
      <c r="AE23" s="561"/>
      <c r="AF23" s="561"/>
      <c r="AG23" s="561"/>
      <c r="AH23" s="561"/>
      <c r="AI23" s="561"/>
      <c r="AJ23" s="561"/>
      <c r="AK23" s="561"/>
      <c r="AL23" s="561"/>
      <c r="AM23" s="561"/>
      <c r="AN23" s="561"/>
      <c r="AO23" s="561"/>
      <c r="AP23" s="561"/>
      <c r="AQ23" s="561"/>
      <c r="AR23" s="561"/>
      <c r="AS23" s="561"/>
      <c r="AT23" s="561"/>
      <c r="AU23" s="561"/>
      <c r="AV23" s="561"/>
      <c r="AW23" s="561"/>
      <c r="AX23" s="561"/>
      <c r="AY23" s="561"/>
      <c r="AZ23" s="561"/>
      <c r="BA23" s="561"/>
      <c r="BB23" s="561"/>
      <c r="BC23" s="561"/>
      <c r="BD23" s="561"/>
      <c r="BE23" s="561"/>
    </row>
    <row r="24" spans="1:63" s="564" customFormat="1" ht="21" customHeight="1">
      <c r="A24" s="1430">
        <v>3.1</v>
      </c>
      <c r="B24" s="600" t="str">
        <f>'Scope 3 Summary'!D20</f>
        <v>Purchased goods &amp; services</v>
      </c>
      <c r="C24" s="601"/>
      <c r="D24" s="601"/>
      <c r="E24" s="720">
        <f>'Scope 3 Summary'!E20</f>
        <v>0</v>
      </c>
      <c r="F24" s="602">
        <f>+IF($E$6&lt;&gt;0,E24/$E$6,0)</f>
        <v>0</v>
      </c>
      <c r="G24" s="1409"/>
      <c r="H24" s="1409"/>
      <c r="I24" s="1409"/>
      <c r="J24" s="561"/>
      <c r="K24" s="561"/>
      <c r="L24" s="561" t="str">
        <f t="shared" si="1"/>
        <v>Scope 3</v>
      </c>
      <c r="M24" s="578" t="str">
        <f>+B38</f>
        <v>Investments</v>
      </c>
      <c r="N24" s="1406">
        <f>E38</f>
        <v>0</v>
      </c>
      <c r="O24" s="749"/>
      <c r="P24" s="749"/>
      <c r="Q24" s="561"/>
      <c r="R24" s="561"/>
      <c r="S24" s="561"/>
      <c r="T24" s="561"/>
      <c r="U24" s="561"/>
      <c r="V24" s="561"/>
      <c r="W24" s="561"/>
      <c r="X24" s="561"/>
      <c r="Y24" s="561"/>
      <c r="Z24" s="561"/>
      <c r="AA24" s="561"/>
      <c r="AB24" s="561"/>
      <c r="AC24" s="561"/>
      <c r="AD24" s="561"/>
      <c r="AE24" s="561"/>
      <c r="AF24" s="561"/>
      <c r="AG24" s="561"/>
      <c r="AH24" s="561"/>
      <c r="AI24" s="561"/>
      <c r="AJ24" s="561"/>
      <c r="AK24" s="561"/>
      <c r="AL24" s="561"/>
      <c r="AM24" s="561"/>
      <c r="AN24" s="561"/>
      <c r="AO24" s="561"/>
      <c r="AP24" s="561"/>
      <c r="AQ24" s="561"/>
      <c r="AR24" s="561"/>
      <c r="AS24" s="561"/>
      <c r="AT24" s="561"/>
      <c r="AU24" s="561"/>
      <c r="AV24" s="561"/>
      <c r="AW24" s="561"/>
      <c r="AX24" s="561"/>
      <c r="AY24" s="561"/>
      <c r="AZ24" s="561"/>
      <c r="BA24" s="561"/>
      <c r="BB24" s="561"/>
      <c r="BC24" s="561"/>
      <c r="BD24" s="561"/>
      <c r="BE24" s="561"/>
    </row>
    <row r="25" spans="1:63" s="564" customFormat="1" ht="21" customHeight="1">
      <c r="A25" s="1430">
        <v>3.2</v>
      </c>
      <c r="B25" s="600" t="str">
        <f>'Scope 3 Summary'!D21</f>
        <v>Capital goods</v>
      </c>
      <c r="C25" s="601"/>
      <c r="D25" s="601"/>
      <c r="E25" s="720">
        <f>'Scope 3 Summary'!E21</f>
        <v>0</v>
      </c>
      <c r="F25" s="602">
        <f t="shared" ref="F25:F38" si="4">+IF($E$6&lt;&gt;0,E25/$E$6,0)</f>
        <v>0</v>
      </c>
      <c r="G25" s="1409"/>
      <c r="H25" s="1409"/>
      <c r="I25" s="1409"/>
      <c r="J25" s="561"/>
      <c r="K25" s="561"/>
      <c r="L25" s="561"/>
      <c r="M25" s="578"/>
      <c r="N25" s="749"/>
      <c r="O25" s="749"/>
      <c r="P25" s="749"/>
      <c r="Q25" s="561"/>
      <c r="R25" s="561"/>
      <c r="S25" s="561"/>
      <c r="T25" s="561"/>
      <c r="U25" s="561"/>
      <c r="V25" s="561"/>
      <c r="W25" s="561"/>
      <c r="X25" s="561"/>
      <c r="Y25" s="561"/>
      <c r="Z25" s="561"/>
      <c r="AA25" s="561"/>
      <c r="AB25" s="561"/>
      <c r="AC25" s="561"/>
      <c r="AD25" s="561"/>
      <c r="AE25" s="561"/>
      <c r="AF25" s="561"/>
      <c r="AG25" s="561"/>
      <c r="AH25" s="561"/>
      <c r="AI25" s="561"/>
      <c r="AJ25" s="561"/>
      <c r="AK25" s="561"/>
      <c r="AL25" s="561"/>
      <c r="AM25" s="561"/>
      <c r="AN25" s="561"/>
      <c r="AO25" s="561"/>
      <c r="AP25" s="561"/>
      <c r="AQ25" s="561"/>
      <c r="AR25" s="561"/>
      <c r="AS25" s="561"/>
      <c r="AT25" s="561"/>
      <c r="AU25" s="561"/>
      <c r="AV25" s="561"/>
      <c r="AW25" s="561"/>
      <c r="AX25" s="561"/>
      <c r="AY25" s="561"/>
      <c r="AZ25" s="561"/>
      <c r="BA25" s="561"/>
      <c r="BB25" s="561"/>
      <c r="BC25" s="561"/>
      <c r="BD25" s="561"/>
      <c r="BE25" s="561"/>
      <c r="BF25" s="561"/>
      <c r="BG25" s="561"/>
      <c r="BH25" s="561"/>
      <c r="BI25" s="561"/>
      <c r="BJ25" s="561"/>
      <c r="BK25" s="561"/>
    </row>
    <row r="26" spans="1:63" s="564" customFormat="1" ht="21" customHeight="1">
      <c r="A26" s="1430">
        <v>3.3</v>
      </c>
      <c r="B26" s="600" t="str">
        <f>'Scope 3 Summary'!D22</f>
        <v>Fuel- &amp; energy-related emissions</v>
      </c>
      <c r="C26" s="601"/>
      <c r="D26" s="601"/>
      <c r="E26" s="720">
        <f>'Scope 3 Summary'!E22</f>
        <v>4645.4736823110006</v>
      </c>
      <c r="F26" s="602">
        <f t="shared" si="4"/>
        <v>1</v>
      </c>
      <c r="G26" s="1409"/>
      <c r="H26" s="1409"/>
      <c r="I26" s="1409"/>
      <c r="J26" s="561"/>
      <c r="K26" s="561"/>
      <c r="L26" s="561"/>
      <c r="M26" s="561"/>
      <c r="N26" s="749"/>
      <c r="O26" s="749"/>
      <c r="P26" s="749"/>
      <c r="Q26" s="561"/>
      <c r="R26" s="561"/>
      <c r="S26" s="561"/>
      <c r="T26" s="561"/>
      <c r="U26" s="561"/>
      <c r="V26" s="561"/>
      <c r="W26" s="561"/>
      <c r="X26" s="561"/>
      <c r="Y26" s="561"/>
      <c r="Z26" s="561"/>
      <c r="AA26" s="561"/>
      <c r="AB26" s="561"/>
      <c r="AC26" s="561"/>
      <c r="AD26" s="561"/>
      <c r="AE26" s="561"/>
      <c r="AF26" s="561"/>
      <c r="AG26" s="561"/>
      <c r="AH26" s="561"/>
      <c r="AI26" s="561"/>
      <c r="AJ26" s="561"/>
      <c r="AK26" s="561"/>
      <c r="AL26" s="561"/>
      <c r="AM26" s="561"/>
      <c r="AN26" s="561"/>
      <c r="AO26" s="561"/>
      <c r="AP26" s="561"/>
      <c r="AQ26" s="561"/>
      <c r="AR26" s="561"/>
      <c r="AS26" s="561"/>
      <c r="AT26" s="561"/>
      <c r="AU26" s="561"/>
      <c r="AV26" s="561"/>
      <c r="AW26" s="561"/>
      <c r="AX26" s="561"/>
      <c r="AY26" s="561"/>
      <c r="AZ26" s="561"/>
      <c r="BA26" s="561"/>
      <c r="BB26" s="561"/>
      <c r="BC26" s="561"/>
      <c r="BD26" s="561"/>
      <c r="BE26" s="561"/>
      <c r="BF26" s="561"/>
      <c r="BG26" s="561"/>
      <c r="BH26" s="561"/>
      <c r="BI26" s="561"/>
      <c r="BJ26" s="561"/>
      <c r="BK26" s="561"/>
    </row>
    <row r="27" spans="1:63" s="564" customFormat="1" ht="21" customHeight="1">
      <c r="A27" s="1431">
        <v>3.4</v>
      </c>
      <c r="B27" s="600" t="str">
        <f>'Scope 3 Summary'!D23</f>
        <v>Upstream transportation &amp; distribution</v>
      </c>
      <c r="C27" s="603"/>
      <c r="D27" s="601"/>
      <c r="E27" s="720">
        <f>'Scope 3 Summary'!E23</f>
        <v>0</v>
      </c>
      <c r="F27" s="602">
        <f t="shared" si="4"/>
        <v>0</v>
      </c>
      <c r="G27" s="1409"/>
      <c r="H27" s="1409"/>
      <c r="I27" s="1409"/>
      <c r="J27" s="561"/>
      <c r="K27" s="561"/>
      <c r="L27" s="561"/>
      <c r="M27" s="561"/>
      <c r="N27" s="749"/>
      <c r="O27" s="749"/>
      <c r="P27" s="749"/>
      <c r="Q27" s="561"/>
      <c r="R27" s="561"/>
      <c r="S27" s="561"/>
      <c r="T27" s="561"/>
      <c r="U27" s="561"/>
      <c r="V27" s="561"/>
      <c r="W27" s="561"/>
      <c r="X27" s="561"/>
      <c r="Y27" s="561"/>
      <c r="Z27" s="561"/>
      <c r="AA27" s="561"/>
      <c r="AB27" s="561"/>
      <c r="AC27" s="561"/>
      <c r="AD27" s="561"/>
      <c r="AE27" s="561"/>
      <c r="AF27" s="561"/>
      <c r="AG27" s="561"/>
      <c r="AH27" s="561"/>
      <c r="AI27" s="561"/>
      <c r="AJ27" s="561"/>
      <c r="AK27" s="561"/>
      <c r="AL27" s="561"/>
      <c r="AM27" s="561"/>
      <c r="AN27" s="561"/>
      <c r="AO27" s="561"/>
      <c r="AP27" s="561"/>
      <c r="AQ27" s="561"/>
      <c r="AR27" s="561"/>
      <c r="AS27" s="561"/>
      <c r="AT27" s="561"/>
      <c r="AU27" s="561"/>
      <c r="AV27" s="561"/>
      <c r="AW27" s="561"/>
      <c r="AX27" s="561"/>
      <c r="AY27" s="561"/>
      <c r="AZ27" s="561"/>
      <c r="BA27" s="561"/>
      <c r="BB27" s="561"/>
      <c r="BC27" s="561"/>
      <c r="BD27" s="561"/>
      <c r="BE27" s="561"/>
      <c r="BF27" s="561"/>
      <c r="BG27" s="561"/>
      <c r="BH27" s="561"/>
      <c r="BI27" s="561"/>
      <c r="BJ27" s="561"/>
      <c r="BK27" s="561"/>
    </row>
    <row r="28" spans="1:63" s="564" customFormat="1" ht="21" customHeight="1">
      <c r="A28" s="1430">
        <v>3.5</v>
      </c>
      <c r="B28" s="600" t="str">
        <f>'Scope 3 Summary'!D24</f>
        <v>Waste generated in operations</v>
      </c>
      <c r="C28" s="601"/>
      <c r="D28" s="600"/>
      <c r="E28" s="720">
        <f>'Scope 3 Summary'!E24</f>
        <v>0</v>
      </c>
      <c r="F28" s="602">
        <f t="shared" si="4"/>
        <v>0</v>
      </c>
      <c r="G28" s="1409"/>
      <c r="H28" s="1409"/>
      <c r="I28" s="1409"/>
      <c r="J28" s="561"/>
      <c r="K28" s="561"/>
      <c r="L28" s="561"/>
      <c r="M28" s="561"/>
      <c r="N28" s="749"/>
      <c r="O28" s="749"/>
      <c r="P28" s="749"/>
      <c r="Q28" s="561"/>
      <c r="R28" s="561"/>
      <c r="S28" s="561"/>
      <c r="T28" s="561"/>
      <c r="U28" s="561"/>
      <c r="V28" s="561"/>
      <c r="W28" s="561"/>
      <c r="X28" s="561"/>
      <c r="Y28" s="561"/>
      <c r="Z28" s="561"/>
      <c r="AA28" s="561"/>
      <c r="AB28" s="561"/>
      <c r="AC28" s="561"/>
      <c r="AD28" s="561"/>
      <c r="AE28" s="561"/>
      <c r="AF28" s="561"/>
      <c r="AG28" s="561"/>
      <c r="AH28" s="561"/>
      <c r="AI28" s="561"/>
      <c r="AJ28" s="561"/>
      <c r="AK28" s="561"/>
      <c r="AL28" s="561"/>
      <c r="AM28" s="561"/>
      <c r="AN28" s="561"/>
      <c r="AO28" s="561"/>
      <c r="AP28" s="561"/>
      <c r="AQ28" s="561"/>
      <c r="AR28" s="561"/>
      <c r="AS28" s="561"/>
      <c r="AT28" s="561"/>
      <c r="AU28" s="561"/>
      <c r="AV28" s="561"/>
      <c r="AW28" s="561"/>
      <c r="AX28" s="561"/>
      <c r="AY28" s="561"/>
      <c r="AZ28" s="561"/>
      <c r="BA28" s="561"/>
      <c r="BB28" s="561"/>
      <c r="BC28" s="561"/>
      <c r="BD28" s="561"/>
      <c r="BE28" s="561"/>
      <c r="BF28" s="561"/>
      <c r="BG28" s="561"/>
      <c r="BH28" s="561"/>
      <c r="BI28" s="561"/>
      <c r="BJ28" s="561"/>
      <c r="BK28" s="561"/>
    </row>
    <row r="29" spans="1:63" s="564" customFormat="1" ht="21" customHeight="1">
      <c r="A29" s="1432">
        <v>3.6</v>
      </c>
      <c r="B29" s="600" t="str">
        <f>'Scope 3 Summary'!D25</f>
        <v>Business travel</v>
      </c>
      <c r="C29" s="603"/>
      <c r="D29" s="604"/>
      <c r="E29" s="720">
        <f>'Scope 3 Summary'!E25</f>
        <v>0</v>
      </c>
      <c r="F29" s="602">
        <f t="shared" si="4"/>
        <v>0</v>
      </c>
      <c r="G29" s="1409"/>
      <c r="H29" s="1409"/>
      <c r="I29" s="1409"/>
      <c r="J29" s="561"/>
      <c r="K29" s="561"/>
      <c r="L29" s="561"/>
      <c r="M29" s="561"/>
      <c r="N29" s="749"/>
      <c r="O29" s="749"/>
      <c r="P29" s="749"/>
      <c r="Q29" s="561"/>
      <c r="R29" s="561"/>
      <c r="S29" s="561"/>
      <c r="T29" s="561"/>
      <c r="U29" s="561"/>
      <c r="V29" s="561"/>
      <c r="W29" s="561"/>
      <c r="X29" s="561"/>
      <c r="Y29" s="561"/>
      <c r="Z29" s="561"/>
      <c r="AA29" s="561"/>
      <c r="AB29" s="561"/>
      <c r="AC29" s="561"/>
      <c r="AD29" s="561"/>
      <c r="AE29" s="561"/>
      <c r="AF29" s="561"/>
      <c r="AG29" s="561"/>
      <c r="AH29" s="561"/>
      <c r="AI29" s="561"/>
      <c r="AJ29" s="561"/>
      <c r="AK29" s="561"/>
      <c r="AL29" s="561"/>
      <c r="AM29" s="561"/>
      <c r="AN29" s="561"/>
      <c r="AO29" s="561"/>
      <c r="AP29" s="561"/>
      <c r="AQ29" s="561"/>
      <c r="AR29" s="561"/>
      <c r="AS29" s="561"/>
      <c r="AT29" s="561"/>
      <c r="AU29" s="561"/>
      <c r="AV29" s="561"/>
      <c r="AW29" s="561"/>
      <c r="AX29" s="561"/>
      <c r="AY29" s="561"/>
      <c r="AZ29" s="561"/>
      <c r="BA29" s="561"/>
      <c r="BB29" s="561"/>
      <c r="BC29" s="561"/>
      <c r="BD29" s="561"/>
      <c r="BE29" s="561"/>
      <c r="BF29" s="561"/>
      <c r="BG29" s="561"/>
      <c r="BH29" s="561"/>
      <c r="BI29" s="561"/>
      <c r="BJ29" s="561"/>
      <c r="BK29" s="561"/>
    </row>
    <row r="30" spans="1:63" s="564" customFormat="1" ht="21" customHeight="1">
      <c r="A30" s="1432">
        <v>3.7</v>
      </c>
      <c r="B30" s="600" t="str">
        <f>'Scope 3 Summary'!D26</f>
        <v>Employee commuting</v>
      </c>
      <c r="C30" s="601"/>
      <c r="D30" s="600"/>
      <c r="E30" s="720">
        <f>'Scope 3 Summary'!E26</f>
        <v>0</v>
      </c>
      <c r="F30" s="602">
        <f t="shared" si="4"/>
        <v>0</v>
      </c>
      <c r="G30" s="1409"/>
      <c r="H30" s="1409"/>
      <c r="I30" s="1409"/>
      <c r="J30" s="561"/>
      <c r="K30" s="561"/>
      <c r="L30" s="561"/>
      <c r="M30" s="561"/>
      <c r="N30" s="749"/>
      <c r="O30" s="749"/>
      <c r="P30" s="749"/>
      <c r="Q30" s="561"/>
      <c r="R30" s="561"/>
      <c r="S30" s="561"/>
      <c r="T30" s="561"/>
      <c r="U30" s="561"/>
      <c r="V30" s="561"/>
      <c r="W30" s="561"/>
      <c r="X30" s="561"/>
      <c r="Y30" s="561"/>
      <c r="Z30" s="561"/>
      <c r="AA30" s="561"/>
      <c r="AB30" s="561"/>
      <c r="AC30" s="561"/>
      <c r="AD30" s="561"/>
      <c r="AE30" s="561"/>
      <c r="AF30" s="561"/>
      <c r="AG30" s="561"/>
      <c r="AH30" s="561"/>
      <c r="AI30" s="561"/>
      <c r="AJ30" s="561"/>
      <c r="AK30" s="561"/>
      <c r="AL30" s="561"/>
      <c r="AM30" s="561"/>
      <c r="AN30" s="561"/>
      <c r="AO30" s="561"/>
      <c r="AP30" s="561"/>
      <c r="AQ30" s="561"/>
      <c r="AR30" s="561"/>
      <c r="AS30" s="561"/>
      <c r="AT30" s="561"/>
      <c r="AU30" s="561"/>
      <c r="AV30" s="561"/>
      <c r="AW30" s="561"/>
      <c r="AX30" s="561"/>
      <c r="AY30" s="561"/>
      <c r="AZ30" s="561"/>
      <c r="BA30" s="561"/>
      <c r="BB30" s="561"/>
      <c r="BC30" s="561"/>
      <c r="BD30" s="561"/>
      <c r="BE30" s="561"/>
      <c r="BF30" s="561"/>
      <c r="BG30" s="561"/>
      <c r="BH30" s="561"/>
      <c r="BI30" s="561"/>
      <c r="BJ30" s="561"/>
      <c r="BK30" s="561"/>
    </row>
    <row r="31" spans="1:63" s="564" customFormat="1" ht="21" customHeight="1">
      <c r="A31" s="1430">
        <v>3.8</v>
      </c>
      <c r="B31" s="600" t="str">
        <f>'Scope 3 Summary'!D27</f>
        <v>Upstream leased assets</v>
      </c>
      <c r="C31" s="603"/>
      <c r="D31" s="603"/>
      <c r="E31" s="720">
        <f>'Scope 3 Summary'!E27</f>
        <v>0</v>
      </c>
      <c r="F31" s="602">
        <f t="shared" si="4"/>
        <v>0</v>
      </c>
      <c r="G31" s="1409"/>
      <c r="H31" s="1409"/>
      <c r="I31" s="1409"/>
      <c r="J31" s="561"/>
      <c r="K31" s="561"/>
      <c r="L31" s="561"/>
      <c r="M31" s="1411">
        <f>+D7</f>
        <v>0</v>
      </c>
      <c r="N31" s="749"/>
      <c r="O31" s="749"/>
      <c r="P31" s="749"/>
      <c r="Q31" s="561"/>
      <c r="R31" s="561"/>
      <c r="S31" s="561"/>
      <c r="T31" s="561"/>
      <c r="U31" s="561"/>
      <c r="V31" s="561"/>
      <c r="W31" s="561"/>
      <c r="X31" s="561"/>
      <c r="Y31" s="561"/>
      <c r="Z31" s="561"/>
      <c r="AA31" s="561"/>
      <c r="AB31" s="561"/>
      <c r="AC31" s="561"/>
      <c r="AD31" s="561"/>
      <c r="AE31" s="561"/>
      <c r="AF31" s="561"/>
      <c r="AG31" s="561"/>
      <c r="AH31" s="561"/>
      <c r="AI31" s="561"/>
      <c r="AJ31" s="561"/>
      <c r="AK31" s="561"/>
      <c r="AL31" s="561"/>
      <c r="AM31" s="561"/>
      <c r="AN31" s="561"/>
      <c r="AO31" s="561"/>
      <c r="AP31" s="561"/>
      <c r="AQ31" s="561"/>
      <c r="AR31" s="561"/>
      <c r="AS31" s="561"/>
      <c r="AT31" s="561"/>
      <c r="AU31" s="561"/>
      <c r="AV31" s="561"/>
      <c r="AW31" s="561"/>
      <c r="AX31" s="561"/>
      <c r="AY31" s="561"/>
      <c r="AZ31" s="561"/>
      <c r="BA31" s="561"/>
      <c r="BB31" s="561"/>
      <c r="BC31" s="561"/>
      <c r="BD31" s="561"/>
      <c r="BE31" s="561"/>
      <c r="BF31" s="561"/>
      <c r="BG31" s="561"/>
      <c r="BH31" s="561"/>
      <c r="BI31" s="561"/>
      <c r="BJ31" s="561"/>
      <c r="BK31" s="561"/>
    </row>
    <row r="32" spans="1:63" s="564" customFormat="1" ht="21" customHeight="1">
      <c r="A32" s="1431">
        <v>3.9</v>
      </c>
      <c r="B32" s="1438" t="str">
        <f>'Scope 3 Summary'!D28</f>
        <v>Downstream transportation &amp; distribution
[Patient Visits &amp; Telehealth]</v>
      </c>
      <c r="C32" s="601"/>
      <c r="D32" s="601"/>
      <c r="E32" s="720">
        <f>'Scope 3 Summary'!E28</f>
        <v>0</v>
      </c>
      <c r="F32" s="602">
        <f t="shared" si="4"/>
        <v>0</v>
      </c>
      <c r="G32" s="1409"/>
      <c r="H32" s="1409"/>
      <c r="I32" s="1409"/>
      <c r="J32" s="561"/>
      <c r="K32" s="561"/>
      <c r="L32" s="561"/>
      <c r="M32" s="1411">
        <f>+D20</f>
        <v>0</v>
      </c>
      <c r="N32" s="749"/>
      <c r="O32" s="749"/>
      <c r="P32" s="749"/>
      <c r="Q32" s="561"/>
      <c r="R32" s="561"/>
      <c r="S32" s="561"/>
      <c r="T32" s="561"/>
      <c r="U32" s="561"/>
      <c r="V32" s="561"/>
      <c r="W32" s="561"/>
      <c r="X32" s="561"/>
      <c r="Y32" s="561"/>
      <c r="Z32" s="561"/>
      <c r="AA32" s="561"/>
      <c r="AB32" s="561"/>
      <c r="AC32" s="561"/>
      <c r="AD32" s="561"/>
      <c r="AE32" s="561"/>
      <c r="AF32" s="561"/>
      <c r="AG32" s="561"/>
      <c r="AH32" s="561"/>
      <c r="AI32" s="561"/>
      <c r="AJ32" s="561"/>
      <c r="AK32" s="561"/>
      <c r="AL32" s="561"/>
      <c r="AM32" s="561"/>
      <c r="AN32" s="561"/>
      <c r="AO32" s="561"/>
      <c r="AP32" s="561"/>
      <c r="AQ32" s="561"/>
      <c r="AR32" s="561"/>
      <c r="AS32" s="561"/>
      <c r="AT32" s="561"/>
      <c r="AU32" s="561"/>
      <c r="AV32" s="561"/>
      <c r="AW32" s="561"/>
      <c r="AX32" s="561"/>
      <c r="AY32" s="561"/>
      <c r="AZ32" s="561"/>
      <c r="BA32" s="561"/>
      <c r="BB32" s="561"/>
      <c r="BC32" s="561"/>
      <c r="BD32" s="561"/>
      <c r="BE32" s="561"/>
      <c r="BF32" s="561"/>
      <c r="BG32" s="561"/>
      <c r="BH32" s="561"/>
      <c r="BI32" s="561"/>
      <c r="BJ32" s="561"/>
      <c r="BK32" s="561"/>
    </row>
    <row r="33" spans="1:63" s="564" customFormat="1" ht="21" customHeight="1">
      <c r="A33" s="1433" t="s">
        <v>4362</v>
      </c>
      <c r="B33" s="600" t="str">
        <f>'Scope 3 Summary'!D29</f>
        <v>Processing of sold products</v>
      </c>
      <c r="C33" s="601"/>
      <c r="D33" s="601"/>
      <c r="E33" s="720" t="str">
        <f>'Scope 3 Summary'!E29</f>
        <v>not relevant for healthcare</v>
      </c>
      <c r="F33" s="605"/>
      <c r="G33" s="1409"/>
      <c r="H33" s="1409" t="str">
        <f>B7</f>
        <v>Scope 1</v>
      </c>
      <c r="I33" s="1412">
        <f>+F7</f>
        <v>0</v>
      </c>
      <c r="J33" s="561"/>
      <c r="K33" s="561"/>
      <c r="L33" s="561"/>
      <c r="M33" s="1411">
        <f>+D23-H24</f>
        <v>4645.4736823110006</v>
      </c>
      <c r="N33" s="749" t="s">
        <v>4363</v>
      </c>
      <c r="O33" s="749"/>
      <c r="P33" s="749"/>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c r="BG33" s="561"/>
      <c r="BH33" s="561"/>
      <c r="BI33" s="561"/>
      <c r="BJ33" s="561"/>
      <c r="BK33" s="561"/>
    </row>
    <row r="34" spans="1:63" s="564" customFormat="1" ht="21" customHeight="1">
      <c r="A34" s="1432">
        <v>3.11</v>
      </c>
      <c r="B34" s="600" t="str">
        <f>'Scope 3 Summary'!D30</f>
        <v>Use of sold products</v>
      </c>
      <c r="C34" s="601"/>
      <c r="D34" s="601"/>
      <c r="E34" s="720">
        <f>'Scope 3 Summary'!E30</f>
        <v>0</v>
      </c>
      <c r="F34" s="602">
        <f t="shared" si="4"/>
        <v>0</v>
      </c>
      <c r="G34" s="1409"/>
      <c r="H34" s="1409" t="str">
        <f>+B20</f>
        <v>Scope 2</v>
      </c>
      <c r="I34" s="1412">
        <f>+F20</f>
        <v>0</v>
      </c>
      <c r="J34" s="561"/>
      <c r="K34" s="561"/>
      <c r="L34" s="561"/>
      <c r="M34" s="1411">
        <f>+H24</f>
        <v>0</v>
      </c>
      <c r="N34" s="749"/>
      <c r="O34" s="749"/>
      <c r="P34" s="749"/>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c r="BG34" s="561"/>
      <c r="BH34" s="561"/>
      <c r="BI34" s="561"/>
      <c r="BJ34" s="561"/>
      <c r="BK34" s="561"/>
    </row>
    <row r="35" spans="1:63" s="564" customFormat="1" ht="21" customHeight="1">
      <c r="A35" s="1432">
        <v>3.12</v>
      </c>
      <c r="B35" s="600" t="str">
        <f>'Scope 3 Summary'!D31</f>
        <v>End-of-life treatment of sold products</v>
      </c>
      <c r="C35" s="601"/>
      <c r="D35" s="601"/>
      <c r="E35" s="720" t="str">
        <f>'Scope 3 Summary'!E31</f>
        <v>not relevant for healthcare</v>
      </c>
      <c r="F35" s="605"/>
      <c r="G35" s="1409"/>
      <c r="H35" s="1409" t="str">
        <f>+B23</f>
        <v>Scope 3</v>
      </c>
      <c r="I35" s="1412">
        <f>+F23</f>
        <v>1</v>
      </c>
      <c r="J35" s="561"/>
      <c r="K35" s="561"/>
      <c r="L35" s="561"/>
      <c r="M35" s="561"/>
      <c r="N35" s="749"/>
      <c r="O35" s="749"/>
      <c r="P35" s="749"/>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c r="BG35" s="561"/>
      <c r="BH35" s="561"/>
      <c r="BI35" s="561"/>
      <c r="BJ35" s="561"/>
      <c r="BK35" s="561"/>
    </row>
    <row r="36" spans="1:63" s="564" customFormat="1" ht="21" customHeight="1">
      <c r="A36" s="1432">
        <v>3.13</v>
      </c>
      <c r="B36" s="600" t="str">
        <f>'Scope 3 Summary'!D32</f>
        <v>Downstream leased assets</v>
      </c>
      <c r="C36" s="601"/>
      <c r="D36" s="601"/>
      <c r="E36" s="720">
        <f>'Scope 3 Summary'!E32</f>
        <v>0</v>
      </c>
      <c r="F36" s="602">
        <f t="shared" si="4"/>
        <v>0</v>
      </c>
      <c r="G36" s="1409"/>
      <c r="H36" s="1409"/>
      <c r="I36" s="1409"/>
      <c r="J36" s="561"/>
      <c r="K36" s="561"/>
      <c r="L36" s="561"/>
      <c r="M36" s="561"/>
      <c r="N36" s="749"/>
      <c r="O36" s="749"/>
      <c r="P36" s="749"/>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c r="BG36" s="561"/>
      <c r="BH36" s="561"/>
      <c r="BI36" s="561"/>
      <c r="BJ36" s="561"/>
      <c r="BK36" s="561"/>
    </row>
    <row r="37" spans="1:63" s="564" customFormat="1" ht="21" customHeight="1">
      <c r="A37" s="1432">
        <v>3.14</v>
      </c>
      <c r="B37" s="600" t="str">
        <f>'Scope 3 Summary'!D33</f>
        <v>Franchises</v>
      </c>
      <c r="C37" s="603"/>
      <c r="D37" s="603"/>
      <c r="E37" s="720" t="str">
        <f>'Scope 3 Summary'!E33</f>
        <v>not relevant for healthcare</v>
      </c>
      <c r="F37" s="606"/>
      <c r="G37" s="1409"/>
      <c r="H37" s="1409"/>
      <c r="I37" s="1409"/>
      <c r="J37" s="561"/>
      <c r="K37" s="561"/>
      <c r="L37" s="561"/>
      <c r="M37" s="561"/>
      <c r="N37" s="749"/>
      <c r="O37" s="749"/>
      <c r="P37" s="749"/>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c r="BG37" s="561"/>
      <c r="BH37" s="561"/>
      <c r="BI37" s="561"/>
      <c r="BJ37" s="561"/>
      <c r="BK37" s="561"/>
    </row>
    <row r="38" spans="1:63" ht="21" customHeight="1">
      <c r="A38" s="1432">
        <v>3.15</v>
      </c>
      <c r="B38" s="600" t="str">
        <f>'Scope 3 Summary'!D34</f>
        <v>Investments</v>
      </c>
      <c r="C38" s="607"/>
      <c r="D38" s="607"/>
      <c r="E38" s="720">
        <f>'Scope 3 Summary'!E34</f>
        <v>0</v>
      </c>
      <c r="F38" s="602">
        <f t="shared" si="4"/>
        <v>0</v>
      </c>
      <c r="G38" s="1409"/>
      <c r="H38" s="1409"/>
      <c r="I38" s="1409"/>
    </row>
    <row r="39" spans="1:63" ht="20.25">
      <c r="B39" s="608"/>
      <c r="C39" s="609"/>
      <c r="D39" s="610" t="s">
        <v>2770</v>
      </c>
      <c r="E39" s="1440">
        <f>D23+D20+D7</f>
        <v>4645.4736823110006</v>
      </c>
      <c r="F39" s="1441" t="s">
        <v>4409</v>
      </c>
      <c r="G39" s="1409"/>
      <c r="H39" s="1409"/>
    </row>
    <row r="40" spans="1:63" ht="5.45" customHeight="1">
      <c r="A40" s="1523"/>
      <c r="B40" s="1523"/>
      <c r="C40" s="1523"/>
      <c r="D40" s="1523"/>
      <c r="E40" s="1523"/>
      <c r="F40" s="1523"/>
    </row>
    <row r="41" spans="1:63" ht="15.6" hidden="1" customHeight="1">
      <c r="A41" s="1434"/>
      <c r="B41" s="611"/>
      <c r="C41" s="611"/>
      <c r="D41" s="611"/>
      <c r="E41" s="611"/>
      <c r="F41" s="611"/>
    </row>
    <row r="42" spans="1:63" ht="15.6" hidden="1" customHeight="1">
      <c r="A42" s="1434"/>
      <c r="B42" s="611"/>
      <c r="C42" s="611"/>
      <c r="D42" s="611"/>
      <c r="E42" s="611"/>
      <c r="F42" s="611"/>
    </row>
    <row r="43" spans="1:63" ht="15.6" hidden="1" customHeight="1">
      <c r="A43" s="1434"/>
      <c r="B43" s="611"/>
      <c r="C43" s="611"/>
      <c r="D43" s="611"/>
      <c r="E43" s="764">
        <f>+E27+E32</f>
        <v>0</v>
      </c>
      <c r="F43" s="611"/>
    </row>
    <row r="44" spans="1:63" ht="15" hidden="1">
      <c r="B44" s="765"/>
      <c r="C44" s="766"/>
      <c r="D44" s="766"/>
      <c r="E44" s="764">
        <f>+E34+E38</f>
        <v>0</v>
      </c>
      <c r="F44" s="767"/>
    </row>
    <row r="45" spans="1:63" ht="15" hidden="1">
      <c r="B45" s="765"/>
      <c r="C45" s="766"/>
      <c r="D45" s="766"/>
      <c r="E45" s="764"/>
      <c r="F45" s="767"/>
    </row>
    <row r="46" spans="1:63" ht="15" hidden="1">
      <c r="B46" s="765"/>
      <c r="C46" s="766"/>
      <c r="D46" s="766"/>
      <c r="E46" s="764"/>
      <c r="F46" s="767"/>
    </row>
    <row r="47" spans="1:63" ht="15" hidden="1">
      <c r="B47" s="765"/>
      <c r="C47" s="766"/>
      <c r="D47" s="766"/>
      <c r="E47" s="764"/>
      <c r="F47" s="767"/>
    </row>
    <row r="48" spans="1:63">
      <c r="B48" s="768"/>
      <c r="C48" s="768"/>
      <c r="D48" s="768"/>
      <c r="E48" s="768"/>
      <c r="F48" s="768"/>
    </row>
    <row r="49" spans="2:10" ht="20.45" customHeight="1">
      <c r="B49" s="1443" t="s">
        <v>4401</v>
      </c>
      <c r="C49" s="1444"/>
      <c r="D49" s="1444"/>
      <c r="E49" s="1444"/>
      <c r="F49" s="613"/>
    </row>
    <row r="50" spans="2:10" ht="20.45" customHeight="1">
      <c r="B50" s="1524" t="str">
        <f>+'Facility or System Data'!$C$3&amp;" - Year " &amp; Instructions!$C$6</f>
        <v xml:space="preserve"> - Year </v>
      </c>
      <c r="C50" s="1524"/>
      <c r="D50" s="1524"/>
      <c r="E50" s="1524"/>
      <c r="F50" s="562"/>
    </row>
    <row r="51" spans="2:10" ht="20.45" customHeight="1">
      <c r="B51" s="1525"/>
      <c r="C51" s="1525"/>
      <c r="D51" s="1525"/>
      <c r="E51" s="1525"/>
      <c r="F51" s="613"/>
    </row>
    <row r="53" spans="2:10" ht="25.5">
      <c r="E53" s="1526" t="s">
        <v>2771</v>
      </c>
      <c r="F53" s="1526"/>
    </row>
    <row r="54" spans="2:10" ht="23.25">
      <c r="D54" s="615"/>
      <c r="E54" s="615"/>
      <c r="F54" s="615"/>
    </row>
    <row r="55" spans="2:10" ht="69.95" customHeight="1">
      <c r="E55" s="1521" t="str">
        <f>IF('Facility or System Data'!$C$11&lt;&gt;0,ROUND($E$6*1000/'Facility or System Data'!$C$11,0)&amp;" kg CO2e/FTE","Fill in the quantity of employees in the 'Facility or System Data' sheet")</f>
        <v>Fill in the quantity of employees in the 'Facility or System Data' sheet</v>
      </c>
      <c r="F55" s="1521"/>
    </row>
    <row r="56" spans="2:10" ht="9.4" customHeight="1">
      <c r="D56" s="615"/>
      <c r="E56" s="615"/>
      <c r="F56" s="615"/>
      <c r="J56" s="561" t="s">
        <v>1737</v>
      </c>
    </row>
    <row r="57" spans="2:10" ht="7.9" customHeight="1">
      <c r="E57" s="348"/>
    </row>
    <row r="58" spans="2:10" ht="72" customHeight="1">
      <c r="E58" s="1521" t="str">
        <f>IF('Facility or System Data'!$C$12&lt;&gt;0,(ROUND($E$6*1000/'Facility or System Data'!$C$12,0)&amp;" kg CO2e/patient day"),"Fill in the quantity of patients in the 'Facility or System Data' sheet")</f>
        <v>Fill in the quantity of patients in the 'Facility or System Data' sheet</v>
      </c>
      <c r="F58" s="1521"/>
    </row>
    <row r="59" spans="2:10" ht="15" customHeight="1">
      <c r="E59" s="616"/>
      <c r="F59" s="616"/>
    </row>
    <row r="60" spans="2:10" ht="63.75" customHeight="1">
      <c r="E60" s="1521" t="str">
        <f>IF('Facility or System Data'!$C$13&lt;&gt;0,(ROUND($E$6*1000/'Facility or System Data'!$C$13,0)&amp;" kg CO2e/adjusted patient day"),"Fill in the quantity of patients in the 'Facility or System Data' sheet")</f>
        <v>Fill in the quantity of patients in the 'Facility or System Data' sheet</v>
      </c>
      <c r="F60" s="1521"/>
    </row>
    <row r="62" spans="2:10" ht="8.4499999999999993" customHeight="1"/>
    <row r="63" spans="2:10" ht="68.25" customHeight="1">
      <c r="E63" s="1521" t="str">
        <f>IF('Facility or System Data'!$C$16&lt;&gt;0,ROUND($E$6*1000/'Facility or System Data'!$C$16,0)&amp;" kg CO2e/operating room","Fill in the quantity of beds in the 'Facility or System Data' sheet")</f>
        <v>Fill in the quantity of beds in the 'Facility or System Data' sheet</v>
      </c>
      <c r="F63" s="1521"/>
    </row>
    <row r="65" spans="2:6" ht="6.95" customHeight="1"/>
    <row r="66" spans="2:6" ht="21" customHeight="1">
      <c r="B66" s="1442" t="s">
        <v>4412</v>
      </c>
      <c r="C66" s="612"/>
      <c r="D66" s="612"/>
      <c r="E66" s="612"/>
      <c r="F66" s="613"/>
    </row>
    <row r="67" spans="2:6" ht="21" customHeight="1">
      <c r="B67" s="1442" t="str">
        <f>+'Facility or System Data'!$C$3&amp;" - Year " &amp; Instructions!$C$6</f>
        <v xml:space="preserve"> - Year </v>
      </c>
      <c r="C67" s="614"/>
      <c r="D67" s="614"/>
      <c r="E67" s="614"/>
      <c r="F67" s="562"/>
    </row>
    <row r="68" spans="2:6" ht="21" customHeight="1">
      <c r="B68" s="614"/>
      <c r="C68" s="614"/>
      <c r="D68" s="614"/>
      <c r="E68" s="614"/>
      <c r="F68" s="613"/>
    </row>
    <row r="98" spans="2:6" ht="20.45" customHeight="1">
      <c r="B98" s="1443" t="s">
        <v>4400</v>
      </c>
      <c r="C98" s="612"/>
      <c r="D98" s="612"/>
      <c r="E98" s="612"/>
      <c r="F98" s="613"/>
    </row>
    <row r="99" spans="2:6" ht="20.45" customHeight="1">
      <c r="B99" s="1442" t="str">
        <f>+'Facility or System Data'!$C$3&amp;" - Year " &amp; Instructions!$C$6</f>
        <v xml:space="preserve"> - Year </v>
      </c>
      <c r="C99" s="614"/>
      <c r="D99" s="614"/>
      <c r="E99" s="614"/>
      <c r="F99" s="562"/>
    </row>
    <row r="100" spans="2:6" ht="20.45" customHeight="1">
      <c r="B100" s="614"/>
      <c r="C100" s="614"/>
      <c r="D100" s="614"/>
      <c r="E100" s="614"/>
      <c r="F100" s="613"/>
    </row>
    <row r="126" spans="12:14">
      <c r="L126" s="564"/>
      <c r="M126" s="564"/>
      <c r="N126" s="751"/>
    </row>
    <row r="127" spans="12:14">
      <c r="L127" s="564"/>
      <c r="M127" s="564"/>
      <c r="N127" s="751"/>
    </row>
    <row r="128" spans="12:14">
      <c r="L128" s="564"/>
      <c r="M128" s="564"/>
      <c r="N128" s="751"/>
    </row>
    <row r="129" spans="1:16" s="564" customFormat="1" ht="20.45" customHeight="1">
      <c r="A129" s="617"/>
      <c r="B129" s="617"/>
      <c r="C129" s="617"/>
      <c r="D129" s="617"/>
      <c r="E129" s="617"/>
      <c r="F129" s="617"/>
      <c r="L129" s="561"/>
      <c r="M129" s="561"/>
      <c r="N129" s="749"/>
      <c r="O129" s="751"/>
      <c r="P129" s="751"/>
    </row>
    <row r="130" spans="1:16" s="564" customFormat="1" ht="20.45" customHeight="1">
      <c r="A130" s="618"/>
      <c r="B130" s="618"/>
      <c r="C130" s="618"/>
      <c r="D130" s="618"/>
      <c r="E130" s="618"/>
      <c r="F130" s="618"/>
      <c r="L130" s="561"/>
      <c r="M130" s="561"/>
      <c r="N130" s="749"/>
      <c r="O130" s="751"/>
      <c r="P130" s="751"/>
    </row>
    <row r="131" spans="1:16" s="564" customFormat="1" ht="20.45" customHeight="1">
      <c r="A131" s="619"/>
      <c r="B131" s="619"/>
      <c r="C131" s="619"/>
      <c r="D131" s="619"/>
      <c r="E131" s="619"/>
      <c r="F131" s="619"/>
      <c r="L131" s="561"/>
      <c r="M131" s="561"/>
      <c r="N131" s="749"/>
      <c r="O131" s="751"/>
      <c r="P131" s="751"/>
    </row>
    <row r="158" spans="1:14" ht="30" customHeight="1">
      <c r="A158" s="1434"/>
      <c r="B158" s="611"/>
      <c r="C158" s="611"/>
      <c r="D158" s="611"/>
      <c r="E158" s="611"/>
      <c r="F158" s="611"/>
      <c r="L158" s="564"/>
      <c r="M158" s="564"/>
      <c r="N158" s="751"/>
    </row>
    <row r="159" spans="1:14" ht="6.95" customHeight="1">
      <c r="L159" s="564"/>
      <c r="M159" s="564"/>
      <c r="N159" s="751"/>
    </row>
    <row r="160" spans="1:14" ht="6.6" customHeight="1">
      <c r="L160" s="564"/>
      <c r="M160" s="564"/>
      <c r="N160" s="751"/>
    </row>
    <row r="161" spans="1:16" s="564" customFormat="1" ht="20.45" customHeight="1">
      <c r="A161" s="617"/>
      <c r="B161" s="617"/>
      <c r="C161" s="617"/>
      <c r="D161" s="617"/>
      <c r="E161" s="617"/>
      <c r="F161" s="617"/>
      <c r="L161" s="561"/>
      <c r="M161" s="561"/>
      <c r="N161" s="749"/>
      <c r="O161" s="751"/>
      <c r="P161" s="751"/>
    </row>
    <row r="162" spans="1:16" s="564" customFormat="1" ht="20.45" customHeight="1">
      <c r="A162" s="618"/>
      <c r="B162" s="618"/>
      <c r="C162" s="618"/>
      <c r="D162" s="618"/>
      <c r="E162" s="618"/>
      <c r="F162" s="618"/>
      <c r="L162" s="561"/>
      <c r="M162" s="561"/>
      <c r="N162" s="749"/>
      <c r="O162" s="751"/>
      <c r="P162" s="751"/>
    </row>
    <row r="163" spans="1:16" s="564" customFormat="1" ht="20.45" customHeight="1">
      <c r="A163" s="619"/>
      <c r="B163" s="619"/>
      <c r="C163" s="619"/>
      <c r="D163" s="619"/>
      <c r="E163" s="619"/>
      <c r="F163" s="619"/>
      <c r="L163" s="561"/>
      <c r="M163" s="561"/>
      <c r="N163" s="749"/>
      <c r="O163" s="751"/>
      <c r="P163" s="751"/>
    </row>
    <row r="190" spans="12:14">
      <c r="L190" s="564"/>
      <c r="M190" s="564"/>
      <c r="N190" s="751"/>
    </row>
    <row r="191" spans="12:14">
      <c r="L191" s="564"/>
      <c r="M191" s="564"/>
      <c r="N191" s="751"/>
    </row>
    <row r="192" spans="12:14">
      <c r="L192" s="564"/>
      <c r="M192" s="564"/>
      <c r="N192" s="751"/>
    </row>
    <row r="193" spans="1:16" s="564" customFormat="1" ht="21" customHeight="1">
      <c r="A193" s="1435"/>
      <c r="B193" s="617"/>
      <c r="C193" s="617"/>
      <c r="D193" s="617"/>
      <c r="E193" s="617"/>
      <c r="F193" s="617"/>
      <c r="L193" s="561"/>
      <c r="M193" s="561"/>
      <c r="N193" s="749"/>
      <c r="O193" s="751"/>
      <c r="P193" s="751"/>
    </row>
    <row r="194" spans="1:16" s="564" customFormat="1" ht="21" customHeight="1">
      <c r="A194" s="1435"/>
      <c r="B194" s="618"/>
      <c r="C194" s="618"/>
      <c r="D194" s="618"/>
      <c r="E194" s="618"/>
      <c r="F194" s="618"/>
      <c r="L194" s="561"/>
      <c r="M194" s="561"/>
      <c r="N194" s="749"/>
      <c r="O194" s="751"/>
      <c r="P194" s="751"/>
    </row>
    <row r="195" spans="1:16" s="564" customFormat="1" ht="21" customHeight="1">
      <c r="A195" s="1435"/>
      <c r="B195" s="619"/>
      <c r="C195" s="619"/>
      <c r="D195" s="619"/>
      <c r="E195" s="619"/>
      <c r="F195" s="619"/>
      <c r="L195" s="561"/>
      <c r="M195" s="561"/>
      <c r="N195" s="749"/>
      <c r="O195" s="751"/>
      <c r="P195" s="751"/>
    </row>
    <row r="219" spans="1:16" ht="27" customHeight="1"/>
    <row r="221" spans="1:16">
      <c r="L221" s="564"/>
      <c r="M221" s="564"/>
      <c r="N221" s="751"/>
    </row>
    <row r="222" spans="1:16">
      <c r="L222" s="564"/>
      <c r="M222" s="564"/>
      <c r="N222" s="751"/>
    </row>
    <row r="223" spans="1:16">
      <c r="L223" s="564"/>
      <c r="M223" s="564"/>
      <c r="N223" s="751"/>
    </row>
    <row r="224" spans="1:16" s="564" customFormat="1" ht="26.25">
      <c r="A224" s="617"/>
      <c r="B224" s="617"/>
      <c r="C224" s="617"/>
      <c r="D224" s="617"/>
      <c r="E224" s="617"/>
      <c r="F224" s="617"/>
      <c r="L224" s="561"/>
      <c r="M224" s="561"/>
      <c r="N224" s="749"/>
      <c r="O224" s="751"/>
      <c r="P224" s="751"/>
    </row>
    <row r="225" spans="1:16" s="564" customFormat="1" ht="26.25">
      <c r="A225" s="618"/>
      <c r="B225" s="618"/>
      <c r="C225" s="618"/>
      <c r="D225" s="618"/>
      <c r="E225" s="618"/>
      <c r="F225" s="618"/>
      <c r="L225" s="561"/>
      <c r="M225" s="561"/>
      <c r="N225" s="749"/>
      <c r="O225" s="751"/>
      <c r="P225" s="751"/>
    </row>
    <row r="226" spans="1:16" s="564" customFormat="1" ht="25.5">
      <c r="A226" s="620"/>
      <c r="B226" s="620"/>
      <c r="C226" s="620"/>
      <c r="D226" s="620"/>
      <c r="E226" s="620"/>
      <c r="F226" s="620"/>
      <c r="L226" s="561"/>
      <c r="M226" s="561"/>
      <c r="N226" s="749"/>
      <c r="O226" s="751"/>
      <c r="P226" s="751"/>
    </row>
    <row r="249" spans="1:16">
      <c r="L249" s="1413"/>
      <c r="M249" s="1414"/>
    </row>
    <row r="250" spans="1:16">
      <c r="L250" s="1413"/>
      <c r="M250" s="1414"/>
    </row>
    <row r="251" spans="1:16">
      <c r="L251" s="1413"/>
      <c r="M251" s="1414"/>
    </row>
    <row r="252" spans="1:16">
      <c r="L252" s="1415"/>
      <c r="M252" s="1416"/>
      <c r="N252" s="751"/>
    </row>
    <row r="253" spans="1:16">
      <c r="L253" s="1415"/>
      <c r="M253" s="1416"/>
      <c r="N253" s="751"/>
    </row>
    <row r="254" spans="1:16">
      <c r="L254" s="1415"/>
      <c r="M254" s="1416"/>
      <c r="N254" s="751"/>
    </row>
    <row r="255" spans="1:16" s="564" customFormat="1" ht="20.45" customHeight="1">
      <c r="A255" s="617"/>
      <c r="B255" s="617"/>
      <c r="C255" s="617"/>
      <c r="D255" s="617"/>
      <c r="E255" s="617"/>
      <c r="F255" s="617"/>
      <c r="L255" s="1413"/>
      <c r="M255" s="1414"/>
      <c r="N255" s="749"/>
      <c r="O255" s="751"/>
      <c r="P255" s="751"/>
    </row>
    <row r="256" spans="1:16" s="564" customFormat="1" ht="20.45" customHeight="1">
      <c r="A256" s="618"/>
      <c r="B256" s="618"/>
      <c r="C256" s="618"/>
      <c r="D256" s="618"/>
      <c r="E256" s="618"/>
      <c r="F256" s="618"/>
      <c r="L256" s="1417"/>
      <c r="M256" s="1417"/>
      <c r="N256" s="749"/>
      <c r="O256" s="751"/>
      <c r="P256" s="751"/>
    </row>
    <row r="257" spans="1:16" s="564" customFormat="1" ht="20.45" customHeight="1">
      <c r="A257" s="619"/>
      <c r="B257" s="619"/>
      <c r="C257" s="619"/>
      <c r="D257" s="619"/>
      <c r="E257" s="619"/>
      <c r="F257" s="619"/>
      <c r="L257" s="1413"/>
      <c r="M257" s="1414"/>
      <c r="N257" s="749"/>
      <c r="O257" s="751"/>
      <c r="P257" s="751"/>
    </row>
    <row r="258" spans="1:16">
      <c r="A258" s="1436"/>
      <c r="B258" s="4"/>
      <c r="C258" s="4"/>
      <c r="D258" s="4"/>
      <c r="E258" s="4"/>
      <c r="F258" s="4"/>
      <c r="L258" s="1413"/>
      <c r="M258" s="1414"/>
    </row>
    <row r="259" spans="1:16" ht="18">
      <c r="A259" s="1437"/>
      <c r="B259" s="621"/>
      <c r="C259" s="622"/>
      <c r="D259" s="623"/>
      <c r="E259" s="624"/>
      <c r="F259" s="623"/>
      <c r="K259" s="1418"/>
      <c r="L259" s="1413"/>
      <c r="M259" s="1414"/>
    </row>
    <row r="260" spans="1:16">
      <c r="A260" s="1436"/>
      <c r="B260" s="4"/>
      <c r="C260" s="4"/>
      <c r="D260" s="625"/>
      <c r="E260" s="626"/>
      <c r="F260" s="625"/>
      <c r="L260" s="1413"/>
      <c r="M260" s="1414"/>
    </row>
    <row r="261" spans="1:16">
      <c r="A261" s="1436"/>
      <c r="B261" s="4"/>
      <c r="C261" s="4"/>
      <c r="D261" s="625"/>
      <c r="E261" s="626"/>
      <c r="F261" s="625"/>
      <c r="L261" s="1413"/>
      <c r="M261" s="1414"/>
    </row>
    <row r="262" spans="1:16">
      <c r="A262" s="1436"/>
      <c r="B262" s="4"/>
      <c r="C262" s="4"/>
      <c r="D262" s="625"/>
      <c r="E262" s="626"/>
      <c r="F262" s="625"/>
      <c r="L262" s="1413"/>
      <c r="M262" s="1414"/>
    </row>
    <row r="263" spans="1:16">
      <c r="A263" s="1436"/>
      <c r="B263" s="4"/>
      <c r="C263" s="4"/>
      <c r="D263" s="625"/>
      <c r="E263" s="626"/>
      <c r="F263" s="625"/>
      <c r="L263" s="1413"/>
      <c r="M263" s="1414"/>
    </row>
    <row r="264" spans="1:16">
      <c r="A264" s="1436"/>
      <c r="B264" s="4"/>
      <c r="C264" s="4"/>
      <c r="D264" s="625"/>
      <c r="E264" s="626"/>
      <c r="F264" s="625"/>
      <c r="L264" s="1413"/>
      <c r="M264" s="1414"/>
    </row>
    <row r="265" spans="1:16">
      <c r="A265" s="1436"/>
      <c r="B265" s="4"/>
      <c r="C265" s="4"/>
      <c r="D265" s="625"/>
      <c r="E265" s="626"/>
      <c r="F265" s="625"/>
      <c r="L265" s="1413"/>
      <c r="M265" s="1414"/>
    </row>
    <row r="266" spans="1:16">
      <c r="A266" s="1436"/>
      <c r="B266" s="4"/>
      <c r="C266" s="4"/>
      <c r="D266" s="625"/>
      <c r="E266" s="626"/>
      <c r="F266" s="625"/>
      <c r="L266" s="1413"/>
      <c r="M266" s="1414"/>
    </row>
    <row r="267" spans="1:16">
      <c r="A267" s="1436"/>
      <c r="B267" s="4"/>
      <c r="C267" s="4"/>
      <c r="D267" s="625"/>
      <c r="E267" s="626"/>
      <c r="F267" s="625"/>
      <c r="L267" s="1413"/>
      <c r="M267" s="1414"/>
    </row>
    <row r="268" spans="1:16">
      <c r="A268" s="1436"/>
      <c r="B268" s="4"/>
      <c r="C268" s="4"/>
      <c r="D268" s="625"/>
      <c r="E268" s="626"/>
      <c r="F268" s="625"/>
      <c r="L268" s="1413"/>
      <c r="M268" s="1414"/>
    </row>
    <row r="269" spans="1:16">
      <c r="A269" s="1436"/>
      <c r="B269" s="4"/>
      <c r="C269" s="4"/>
      <c r="D269" s="625"/>
      <c r="E269" s="626"/>
      <c r="F269" s="625"/>
    </row>
    <row r="270" spans="1:16">
      <c r="A270" s="1436"/>
      <c r="B270" s="4"/>
      <c r="C270" s="4"/>
      <c r="D270" s="625"/>
      <c r="E270" s="626"/>
      <c r="F270" s="625"/>
    </row>
    <row r="271" spans="1:16">
      <c r="A271" s="1436"/>
      <c r="B271" s="4"/>
      <c r="C271" s="4"/>
      <c r="D271" s="625"/>
      <c r="E271" s="626"/>
      <c r="F271" s="625"/>
    </row>
    <row r="272" spans="1:16">
      <c r="A272" s="1436"/>
      <c r="B272" s="4"/>
      <c r="C272" s="4"/>
      <c r="D272" s="625"/>
      <c r="E272" s="626"/>
      <c r="F272" s="625"/>
    </row>
    <row r="273" spans="1:16">
      <c r="A273" s="1436"/>
      <c r="B273" s="4"/>
      <c r="C273" s="4"/>
      <c r="D273" s="4"/>
      <c r="E273" s="4"/>
      <c r="F273" s="4"/>
    </row>
    <row r="274" spans="1:16">
      <c r="A274" s="1436"/>
      <c r="B274" s="4"/>
      <c r="C274" s="4"/>
      <c r="D274" s="4"/>
      <c r="E274" s="4"/>
      <c r="F274" s="4"/>
    </row>
    <row r="275" spans="1:16" ht="14.1" customHeight="1">
      <c r="A275" s="1436"/>
      <c r="B275" s="4"/>
      <c r="C275" s="4"/>
      <c r="D275" s="4"/>
      <c r="E275" s="627"/>
      <c r="F275" s="627"/>
    </row>
    <row r="276" spans="1:16" ht="14.1" customHeight="1">
      <c r="A276" s="1436"/>
      <c r="B276" s="4"/>
      <c r="C276" s="4"/>
      <c r="D276" s="4"/>
      <c r="E276" s="627"/>
      <c r="F276" s="627"/>
    </row>
    <row r="277" spans="1:16" ht="14.1" customHeight="1">
      <c r="A277" s="1436"/>
      <c r="B277" s="4"/>
      <c r="C277" s="4"/>
      <c r="D277" s="4"/>
      <c r="E277" s="627"/>
      <c r="F277" s="627"/>
    </row>
    <row r="278" spans="1:16" ht="14.1" customHeight="1">
      <c r="A278" s="1436"/>
      <c r="B278" s="4"/>
      <c r="C278" s="4"/>
      <c r="D278" s="4"/>
      <c r="E278" s="627"/>
      <c r="F278" s="627"/>
    </row>
    <row r="279" spans="1:16" ht="14.1" customHeight="1">
      <c r="A279" s="1436"/>
      <c r="B279" s="4"/>
      <c r="C279" s="4"/>
      <c r="D279" s="4"/>
      <c r="E279" s="627"/>
      <c r="F279" s="627"/>
    </row>
    <row r="280" spans="1:16" ht="14.1" customHeight="1">
      <c r="A280" s="1436"/>
      <c r="B280" s="4"/>
      <c r="C280" s="4"/>
      <c r="D280" s="4"/>
      <c r="E280" s="627"/>
      <c r="F280" s="627"/>
    </row>
    <row r="281" spans="1:16">
      <c r="A281" s="1436"/>
      <c r="B281" s="4"/>
      <c r="C281" s="4"/>
      <c r="D281" s="4"/>
      <c r="E281" s="4"/>
      <c r="F281" s="4"/>
    </row>
    <row r="282" spans="1:16">
      <c r="A282" s="1436"/>
      <c r="B282" s="4"/>
      <c r="C282" s="4"/>
      <c r="D282" s="4"/>
      <c r="E282" s="4"/>
      <c r="F282" s="4"/>
    </row>
    <row r="283" spans="1:16">
      <c r="A283" s="1436"/>
      <c r="B283" s="4"/>
      <c r="C283" s="4"/>
      <c r="D283" s="4"/>
      <c r="E283" s="4"/>
      <c r="F283" s="4"/>
      <c r="L283" s="564"/>
      <c r="M283" s="564"/>
      <c r="N283" s="751"/>
    </row>
    <row r="284" spans="1:16">
      <c r="A284" s="1436"/>
      <c r="B284" s="4"/>
      <c r="C284" s="4"/>
      <c r="D284" s="4"/>
      <c r="E284" s="4"/>
      <c r="F284" s="4"/>
      <c r="L284" s="564"/>
      <c r="M284" s="564"/>
      <c r="N284" s="751"/>
    </row>
    <row r="285" spans="1:16">
      <c r="A285" s="1436"/>
      <c r="B285" s="4"/>
      <c r="C285" s="4"/>
      <c r="D285" s="4"/>
      <c r="E285" s="4"/>
      <c r="F285" s="4"/>
      <c r="L285" s="564"/>
      <c r="M285" s="564"/>
      <c r="N285" s="751"/>
    </row>
    <row r="286" spans="1:16" s="564" customFormat="1" ht="27.75">
      <c r="A286" s="628"/>
      <c r="B286" s="628"/>
      <c r="C286" s="628"/>
      <c r="D286" s="628"/>
      <c r="E286" s="628"/>
      <c r="F286" s="628"/>
      <c r="L286" s="561"/>
      <c r="M286" s="561"/>
      <c r="N286" s="749"/>
      <c r="O286" s="751"/>
      <c r="P286" s="751"/>
    </row>
    <row r="287" spans="1:16" s="564" customFormat="1" ht="20.25">
      <c r="A287" s="629"/>
      <c r="B287" s="629"/>
      <c r="C287" s="629"/>
      <c r="D287" s="629"/>
      <c r="E287" s="629"/>
      <c r="F287" s="629"/>
      <c r="L287" s="561"/>
      <c r="M287" s="561"/>
      <c r="N287" s="749"/>
      <c r="O287" s="751"/>
      <c r="P287" s="751"/>
    </row>
    <row r="288" spans="1:16" s="564" customFormat="1" ht="25.5">
      <c r="A288" s="619"/>
      <c r="B288" s="619"/>
      <c r="C288" s="619"/>
      <c r="D288" s="619"/>
      <c r="E288" s="619"/>
      <c r="F288" s="619"/>
      <c r="L288" s="561"/>
      <c r="M288" s="561"/>
      <c r="N288" s="749"/>
      <c r="O288" s="751"/>
      <c r="P288" s="751"/>
    </row>
    <row r="289" spans="1:6">
      <c r="A289" s="1436"/>
      <c r="B289" s="4"/>
      <c r="C289" s="4"/>
      <c r="D289" s="4"/>
      <c r="E289" s="4"/>
      <c r="F289" s="4"/>
    </row>
    <row r="290" spans="1:6">
      <c r="A290" s="1436"/>
      <c r="B290" s="4"/>
      <c r="C290" s="4"/>
      <c r="D290" s="4"/>
      <c r="E290" s="4"/>
      <c r="F290" s="4"/>
    </row>
    <row r="291" spans="1:6">
      <c r="A291" s="1436"/>
      <c r="B291" s="4"/>
      <c r="C291" s="4"/>
      <c r="D291" s="4"/>
      <c r="E291" s="4"/>
      <c r="F291" s="4"/>
    </row>
    <row r="292" spans="1:6">
      <c r="A292" s="1436"/>
      <c r="B292" s="4"/>
      <c r="C292" s="4"/>
      <c r="D292" s="4"/>
      <c r="E292" s="4"/>
      <c r="F292" s="4"/>
    </row>
    <row r="293" spans="1:6" ht="21" customHeight="1">
      <c r="A293" s="1436"/>
      <c r="B293" s="4"/>
      <c r="C293" s="4"/>
      <c r="D293" s="4"/>
      <c r="E293" s="4"/>
      <c r="F293" s="4"/>
    </row>
    <row r="294" spans="1:6" ht="14.45" customHeight="1">
      <c r="A294" s="1436"/>
      <c r="B294" s="4"/>
      <c r="C294" s="4"/>
      <c r="D294" s="4"/>
      <c r="E294" s="4"/>
      <c r="F294" s="4"/>
    </row>
    <row r="295" spans="1:6" ht="14.45" customHeight="1">
      <c r="A295" s="1436"/>
      <c r="B295" s="4"/>
      <c r="C295" s="4"/>
      <c r="D295" s="4"/>
      <c r="E295" s="4"/>
      <c r="F295" s="4"/>
    </row>
    <row r="296" spans="1:6" ht="14.45" customHeight="1"/>
    <row r="297" spans="1:6" ht="14.45" customHeight="1"/>
    <row r="300" spans="1:6">
      <c r="E300" s="4"/>
      <c r="F300" s="4"/>
    </row>
    <row r="301" spans="1:6">
      <c r="E301" s="4"/>
      <c r="F301" s="4"/>
    </row>
    <row r="302" spans="1:6">
      <c r="E302" s="4"/>
      <c r="F302" s="4"/>
    </row>
    <row r="303" spans="1:6">
      <c r="E303" s="4"/>
      <c r="F303" s="4"/>
    </row>
    <row r="304" spans="1:6">
      <c r="E304" s="4"/>
      <c r="F304" s="4"/>
    </row>
    <row r="305" spans="5:6">
      <c r="E305" s="4"/>
      <c r="F305" s="4"/>
    </row>
  </sheetData>
  <sheetProtection algorithmName="SHA-512" hashValue="nUSujWG/gffVqK9y8GUsLBMxgqt2sa0EEf4fUBh7va7JI9hcvrqcavoOmazLa6d0aFXN0qy/mvwnwHWC64+D0w==" saltValue="rK9wuUQXEucP01wUKE+tXg==" spinCount="100000" sheet="1" selectLockedCells="1"/>
  <mergeCells count="13">
    <mergeCell ref="E55:F55"/>
    <mergeCell ref="E58:F58"/>
    <mergeCell ref="E60:F60"/>
    <mergeCell ref="E63:F63"/>
    <mergeCell ref="C1:F1"/>
    <mergeCell ref="A40:F40"/>
    <mergeCell ref="B50:E50"/>
    <mergeCell ref="B51:E51"/>
    <mergeCell ref="E53:F53"/>
    <mergeCell ref="D8:E8"/>
    <mergeCell ref="D7:E7"/>
    <mergeCell ref="D23:E23"/>
    <mergeCell ref="D20:E20"/>
  </mergeCells>
  <pageMargins left="0.25" right="0.25" top="0.75" bottom="0.75" header="0.3" footer="0.3"/>
  <pageSetup paperSize="9" scale="54" orientation="landscape" horizontalDpi="360" verticalDpi="360" r:id="rId1"/>
  <rowBreaks count="6" manualBreakCount="6">
    <brk id="48" max="16383" man="1"/>
    <brk id="65" max="16383" man="1"/>
    <brk id="97" max="16383" man="1"/>
    <brk id="128" max="16383" man="1"/>
    <brk id="160" max="16383" man="1"/>
    <brk id="254" max="16383" man="1"/>
  </rowBreaks>
  <ignoredErrors>
    <ignoredError sqref="F10" 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A9BC0-97AB-4D13-9B60-35D8002367EB}">
  <sheetPr codeName="Sheet9">
    <tabColor rgb="FF94E494"/>
  </sheetPr>
  <dimension ref="A1:G58"/>
  <sheetViews>
    <sheetView showGridLines="0" zoomScaleNormal="100" workbookViewId="0">
      <pane xSplit="1" ySplit="3" topLeftCell="C38" activePane="bottomRight" state="frozen"/>
      <selection activeCell="C8" sqref="C8"/>
      <selection pane="topRight" activeCell="C8" sqref="C8"/>
      <selection pane="bottomLeft" activeCell="C8" sqref="C8"/>
      <selection pane="bottomRight" activeCell="F56" sqref="F56:F58"/>
    </sheetView>
  </sheetViews>
  <sheetFormatPr defaultColWidth="10.5" defaultRowHeight="14.25"/>
  <cols>
    <col min="1" max="1" width="6.625" style="348" customWidth="1"/>
    <col min="2" max="2" width="25.625" style="6" customWidth="1"/>
    <col min="3" max="3" width="49" style="6" customWidth="1"/>
    <col min="4" max="4" width="15.125" style="6" bestFit="1" customWidth="1"/>
    <col min="5" max="5" width="13.625" style="348" customWidth="1"/>
    <col min="6" max="6" width="67.875" style="6" bestFit="1" customWidth="1"/>
    <col min="7" max="7" width="69" style="6" customWidth="1"/>
    <col min="8" max="16384" width="10.5" style="6"/>
  </cols>
  <sheetData>
    <row r="1" spans="1:7" ht="156" customHeight="1">
      <c r="A1" s="656"/>
      <c r="B1" s="656" t="s">
        <v>26</v>
      </c>
      <c r="D1" s="657" t="str">
        <f>+Instructions!B2</f>
        <v>Health Care Emissions Impact Calculator-Facility</v>
      </c>
      <c r="E1" s="346"/>
    </row>
    <row r="2" spans="1:7" ht="6" customHeight="1"/>
    <row r="3" spans="1:7" s="353" customFormat="1" ht="12.75">
      <c r="A3" s="658" t="s">
        <v>1738</v>
      </c>
      <c r="B3" s="659" t="s">
        <v>2792</v>
      </c>
      <c r="C3" s="660" t="s">
        <v>2793</v>
      </c>
      <c r="D3" s="660" t="s">
        <v>2794</v>
      </c>
      <c r="E3" s="661" t="s">
        <v>1739</v>
      </c>
      <c r="F3" s="660" t="s">
        <v>2795</v>
      </c>
      <c r="G3" s="662" t="s">
        <v>1896</v>
      </c>
    </row>
    <row r="4" spans="1:7" s="353" customFormat="1">
      <c r="A4" s="663">
        <v>1</v>
      </c>
      <c r="B4" s="664" t="s">
        <v>2796</v>
      </c>
      <c r="C4" s="665" t="s">
        <v>2797</v>
      </c>
      <c r="D4" s="665" t="s">
        <v>2798</v>
      </c>
      <c r="E4" s="666">
        <v>2006</v>
      </c>
      <c r="F4" s="732" t="s">
        <v>2799</v>
      </c>
      <c r="G4" s="734" t="s">
        <v>2935</v>
      </c>
    </row>
    <row r="5" spans="1:7" s="353" customFormat="1">
      <c r="A5" s="663">
        <v>2</v>
      </c>
      <c r="B5" s="669" t="s">
        <v>2796</v>
      </c>
      <c r="C5" s="665" t="s">
        <v>2800</v>
      </c>
      <c r="D5" s="665" t="s">
        <v>2801</v>
      </c>
      <c r="E5" s="666">
        <v>2006</v>
      </c>
      <c r="F5" s="732" t="s">
        <v>2918</v>
      </c>
      <c r="G5" s="668"/>
    </row>
    <row r="6" spans="1:7" s="353" customFormat="1" ht="12.75">
      <c r="A6" s="663">
        <v>3</v>
      </c>
      <c r="B6" s="669" t="s">
        <v>2796</v>
      </c>
      <c r="C6" s="665" t="s">
        <v>2802</v>
      </c>
      <c r="D6" s="665" t="s">
        <v>2803</v>
      </c>
      <c r="E6" s="666">
        <v>2006</v>
      </c>
      <c r="F6" s="667" t="s">
        <v>2799</v>
      </c>
      <c r="G6" s="668"/>
    </row>
    <row r="7" spans="1:7" s="353" customFormat="1" ht="12.75">
      <c r="A7" s="663">
        <v>4</v>
      </c>
      <c r="B7" s="669" t="s">
        <v>2796</v>
      </c>
      <c r="C7" s="665" t="s">
        <v>2802</v>
      </c>
      <c r="D7" s="665" t="s">
        <v>2804</v>
      </c>
      <c r="E7" s="666">
        <v>2006</v>
      </c>
      <c r="F7" s="667" t="s">
        <v>2799</v>
      </c>
      <c r="G7" s="668"/>
    </row>
    <row r="8" spans="1:7" s="353" customFormat="1" ht="12.75">
      <c r="A8" s="663">
        <v>5</v>
      </c>
      <c r="B8" s="669" t="s">
        <v>2796</v>
      </c>
      <c r="C8" s="665" t="s">
        <v>2805</v>
      </c>
      <c r="D8" s="665" t="s">
        <v>2806</v>
      </c>
      <c r="E8" s="666">
        <v>2007</v>
      </c>
      <c r="F8" s="670" t="s">
        <v>2807</v>
      </c>
      <c r="G8" s="671" t="s">
        <v>2808</v>
      </c>
    </row>
    <row r="9" spans="1:7" s="353" customFormat="1" ht="12.75">
      <c r="A9" s="663">
        <v>6</v>
      </c>
      <c r="B9" s="669" t="s">
        <v>2809</v>
      </c>
      <c r="C9" s="665" t="s">
        <v>2810</v>
      </c>
      <c r="D9" s="665"/>
      <c r="E9" s="666">
        <v>2010</v>
      </c>
      <c r="F9" s="667"/>
      <c r="G9" s="668"/>
    </row>
    <row r="10" spans="1:7" s="353" customFormat="1" ht="36.75" customHeight="1">
      <c r="A10" s="663">
        <v>7</v>
      </c>
      <c r="B10" s="669" t="s">
        <v>2811</v>
      </c>
      <c r="C10" s="665" t="s">
        <v>2812</v>
      </c>
      <c r="D10" s="665"/>
      <c r="E10" s="672">
        <v>42236</v>
      </c>
      <c r="F10" s="667" t="s">
        <v>2813</v>
      </c>
      <c r="G10" s="668"/>
    </row>
    <row r="11" spans="1:7" s="353" customFormat="1" ht="25.5">
      <c r="A11" s="663">
        <v>8</v>
      </c>
      <c r="B11" s="669" t="s">
        <v>2814</v>
      </c>
      <c r="C11" s="665" t="s">
        <v>2815</v>
      </c>
      <c r="D11" s="665" t="s">
        <v>2816</v>
      </c>
      <c r="E11" s="673">
        <v>42795</v>
      </c>
      <c r="F11" s="670" t="s">
        <v>2817</v>
      </c>
      <c r="G11" s="668"/>
    </row>
    <row r="12" spans="1:7" s="353" customFormat="1" ht="25.5">
      <c r="A12" s="663">
        <v>9</v>
      </c>
      <c r="B12" s="669" t="s">
        <v>2814</v>
      </c>
      <c r="C12" s="665" t="s">
        <v>2815</v>
      </c>
      <c r="D12" s="665" t="s">
        <v>2818</v>
      </c>
      <c r="E12" s="673">
        <v>42795</v>
      </c>
      <c r="F12" s="667" t="s">
        <v>2817</v>
      </c>
      <c r="G12" s="668"/>
    </row>
    <row r="13" spans="1:7" s="353" customFormat="1" ht="102" customHeight="1">
      <c r="A13" s="663">
        <v>10</v>
      </c>
      <c r="B13" s="669" t="s">
        <v>2819</v>
      </c>
      <c r="C13" s="665" t="s">
        <v>2820</v>
      </c>
      <c r="D13" s="669" t="s">
        <v>2821</v>
      </c>
      <c r="E13" s="666"/>
      <c r="F13" s="667"/>
      <c r="G13" s="674" t="s">
        <v>2822</v>
      </c>
    </row>
    <row r="14" spans="1:7" s="353" customFormat="1" ht="25.5">
      <c r="A14" s="663">
        <v>11</v>
      </c>
      <c r="B14" s="669" t="s">
        <v>2823</v>
      </c>
      <c r="C14" s="669" t="s">
        <v>2824</v>
      </c>
      <c r="D14" s="665"/>
      <c r="E14" s="673">
        <v>42339</v>
      </c>
      <c r="F14" s="667" t="s">
        <v>2825</v>
      </c>
      <c r="G14" s="668"/>
    </row>
    <row r="15" spans="1:7" s="353" customFormat="1" ht="108.6" customHeight="1">
      <c r="A15" s="663">
        <v>12</v>
      </c>
      <c r="B15" s="669" t="s">
        <v>2796</v>
      </c>
      <c r="C15" s="665" t="s">
        <v>2826</v>
      </c>
      <c r="D15" s="665" t="s">
        <v>2827</v>
      </c>
      <c r="E15" s="666">
        <v>2006</v>
      </c>
      <c r="F15" s="667" t="s">
        <v>2799</v>
      </c>
      <c r="G15" s="674" t="s">
        <v>2828</v>
      </c>
    </row>
    <row r="16" spans="1:7" s="353" customFormat="1" ht="12.75">
      <c r="A16" s="663">
        <v>13</v>
      </c>
      <c r="B16" s="669" t="s">
        <v>2829</v>
      </c>
      <c r="C16" s="665" t="s">
        <v>2830</v>
      </c>
      <c r="D16" s="665" t="s">
        <v>2831</v>
      </c>
      <c r="E16" s="673">
        <v>42339</v>
      </c>
      <c r="F16" s="667" t="s">
        <v>2832</v>
      </c>
      <c r="G16" s="668"/>
    </row>
    <row r="17" spans="1:7" s="353" customFormat="1" ht="25.5">
      <c r="A17" s="663">
        <v>14</v>
      </c>
      <c r="B17" s="669" t="s">
        <v>2833</v>
      </c>
      <c r="C17" s="669" t="s">
        <v>2834</v>
      </c>
      <c r="D17" s="665"/>
      <c r="E17" s="675">
        <v>2012</v>
      </c>
      <c r="F17" s="667" t="s">
        <v>2835</v>
      </c>
      <c r="G17" s="668"/>
    </row>
    <row r="18" spans="1:7" s="353" customFormat="1" ht="38.25">
      <c r="A18" s="663">
        <v>15</v>
      </c>
      <c r="B18" s="669" t="s">
        <v>2836</v>
      </c>
      <c r="C18" s="669" t="s">
        <v>2837</v>
      </c>
      <c r="D18" s="669" t="s">
        <v>2838</v>
      </c>
      <c r="E18" s="676" t="s">
        <v>2839</v>
      </c>
      <c r="F18" s="677" t="s">
        <v>2840</v>
      </c>
      <c r="G18" s="674" t="s">
        <v>2841</v>
      </c>
    </row>
    <row r="19" spans="1:7" s="353" customFormat="1" ht="12.75">
      <c r="A19" s="663">
        <v>16</v>
      </c>
      <c r="B19" s="669" t="s">
        <v>2796</v>
      </c>
      <c r="C19" s="665" t="s">
        <v>2842</v>
      </c>
      <c r="D19" s="665" t="s">
        <v>2843</v>
      </c>
      <c r="E19" s="666">
        <v>2006</v>
      </c>
      <c r="F19" s="667" t="s">
        <v>2799</v>
      </c>
      <c r="G19" s="668" t="s">
        <v>2844</v>
      </c>
    </row>
    <row r="20" spans="1:7" s="353" customFormat="1" ht="12.75">
      <c r="A20" s="663">
        <v>17</v>
      </c>
      <c r="B20" s="669" t="s">
        <v>2796</v>
      </c>
      <c r="C20" s="665" t="s">
        <v>2845</v>
      </c>
      <c r="D20" s="665" t="s">
        <v>2846</v>
      </c>
      <c r="E20" s="666">
        <v>2006</v>
      </c>
      <c r="F20" s="667" t="s">
        <v>2799</v>
      </c>
      <c r="G20" s="668"/>
    </row>
    <row r="21" spans="1:7" s="353" customFormat="1" ht="25.5">
      <c r="A21" s="663">
        <v>18</v>
      </c>
      <c r="B21" s="669" t="s">
        <v>2796</v>
      </c>
      <c r="C21" s="665" t="s">
        <v>2845</v>
      </c>
      <c r="D21" s="665" t="s">
        <v>2847</v>
      </c>
      <c r="E21" s="666">
        <v>2006</v>
      </c>
      <c r="F21" s="667" t="s">
        <v>2799</v>
      </c>
      <c r="G21" s="674" t="s">
        <v>2848</v>
      </c>
    </row>
    <row r="22" spans="1:7" s="353" customFormat="1" ht="12.75">
      <c r="A22" s="663">
        <v>19</v>
      </c>
      <c r="B22" s="669" t="s">
        <v>2796</v>
      </c>
      <c r="C22" s="665" t="s">
        <v>2845</v>
      </c>
      <c r="D22" s="665" t="s">
        <v>2849</v>
      </c>
      <c r="E22" s="666">
        <v>2006</v>
      </c>
      <c r="F22" s="667" t="s">
        <v>2799</v>
      </c>
      <c r="G22" s="674"/>
    </row>
    <row r="23" spans="1:7" s="353" customFormat="1" ht="12.75">
      <c r="A23" s="663">
        <v>20</v>
      </c>
      <c r="B23" s="669" t="s">
        <v>2796</v>
      </c>
      <c r="C23" s="665" t="s">
        <v>2826</v>
      </c>
      <c r="D23" s="665" t="s">
        <v>2801</v>
      </c>
      <c r="E23" s="666">
        <v>2006</v>
      </c>
      <c r="F23" s="667" t="s">
        <v>2799</v>
      </c>
      <c r="G23" s="674"/>
    </row>
    <row r="24" spans="1:7" s="353" customFormat="1" ht="12.75">
      <c r="A24" s="663">
        <v>21</v>
      </c>
      <c r="B24" s="669" t="s">
        <v>2796</v>
      </c>
      <c r="C24" s="665" t="s">
        <v>2826</v>
      </c>
      <c r="D24" s="665" t="s">
        <v>2850</v>
      </c>
      <c r="E24" s="666">
        <v>2006</v>
      </c>
      <c r="F24" s="667" t="s">
        <v>2799</v>
      </c>
      <c r="G24" s="674"/>
    </row>
    <row r="25" spans="1:7" s="353" customFormat="1">
      <c r="A25" s="663">
        <v>22</v>
      </c>
      <c r="B25" s="669" t="s">
        <v>2796</v>
      </c>
      <c r="C25" s="665" t="s">
        <v>2826</v>
      </c>
      <c r="D25" s="665" t="s">
        <v>2831</v>
      </c>
      <c r="E25" s="666">
        <v>2006</v>
      </c>
      <c r="F25" s="732" t="s">
        <v>2799</v>
      </c>
      <c r="G25" s="674"/>
    </row>
    <row r="26" spans="1:7" s="353" customFormat="1" ht="12.75">
      <c r="A26" s="663">
        <v>23</v>
      </c>
      <c r="B26" s="665" t="s">
        <v>2851</v>
      </c>
      <c r="C26" s="665" t="s">
        <v>2852</v>
      </c>
      <c r="D26" s="665" t="s">
        <v>2853</v>
      </c>
      <c r="E26" s="666">
        <v>2016</v>
      </c>
      <c r="F26" s="667"/>
      <c r="G26" s="668"/>
    </row>
    <row r="27" spans="1:7" s="353" customFormat="1" ht="25.5">
      <c r="A27" s="663">
        <v>24</v>
      </c>
      <c r="B27" s="669" t="s">
        <v>2814</v>
      </c>
      <c r="C27" s="665" t="s">
        <v>2815</v>
      </c>
      <c r="D27" s="665" t="s">
        <v>2854</v>
      </c>
      <c r="E27" s="673">
        <v>42795</v>
      </c>
      <c r="F27" s="670" t="s">
        <v>2817</v>
      </c>
      <c r="G27" s="674"/>
    </row>
    <row r="28" spans="1:7" s="353" customFormat="1" ht="46.5" customHeight="1">
      <c r="A28" s="663">
        <v>25</v>
      </c>
      <c r="B28" s="669" t="s">
        <v>2811</v>
      </c>
      <c r="C28" s="669" t="s">
        <v>2855</v>
      </c>
      <c r="D28" s="669" t="s">
        <v>2856</v>
      </c>
      <c r="E28" s="678">
        <v>2010</v>
      </c>
      <c r="F28" s="677" t="s">
        <v>2857</v>
      </c>
      <c r="G28" s="674" t="s">
        <v>2858</v>
      </c>
    </row>
    <row r="29" spans="1:7" s="353" customFormat="1" ht="27" customHeight="1">
      <c r="A29" s="663">
        <v>26</v>
      </c>
      <c r="B29" s="669" t="s">
        <v>2859</v>
      </c>
      <c r="C29" s="669" t="s">
        <v>2860</v>
      </c>
      <c r="D29" s="665"/>
      <c r="E29" s="676"/>
      <c r="F29" s="733" t="s">
        <v>2861</v>
      </c>
      <c r="G29" s="674" t="s">
        <v>2808</v>
      </c>
    </row>
    <row r="30" spans="1:7" s="353" customFormat="1" ht="27" customHeight="1">
      <c r="A30" s="663">
        <v>27</v>
      </c>
      <c r="B30" s="669" t="s">
        <v>2862</v>
      </c>
      <c r="C30" s="669" t="s">
        <v>2863</v>
      </c>
      <c r="D30" s="665"/>
      <c r="E30" s="676"/>
      <c r="F30" s="733" t="s">
        <v>2864</v>
      </c>
      <c r="G30" s="674"/>
    </row>
    <row r="31" spans="1:7" s="353" customFormat="1" ht="12.75">
      <c r="A31" s="663">
        <v>28</v>
      </c>
      <c r="B31" s="669" t="s">
        <v>2796</v>
      </c>
      <c r="C31" s="665" t="s">
        <v>2865</v>
      </c>
      <c r="D31" s="665" t="s">
        <v>2866</v>
      </c>
      <c r="E31" s="666">
        <v>2007</v>
      </c>
      <c r="F31" s="667" t="s">
        <v>2807</v>
      </c>
      <c r="G31" s="674" t="s">
        <v>2808</v>
      </c>
    </row>
    <row r="32" spans="1:7" s="353" customFormat="1" ht="27" customHeight="1">
      <c r="A32" s="663">
        <v>29</v>
      </c>
      <c r="B32" s="669" t="s">
        <v>2867</v>
      </c>
      <c r="C32" s="669" t="s">
        <v>2868</v>
      </c>
      <c r="D32" s="669" t="s">
        <v>72</v>
      </c>
      <c r="E32" s="679">
        <v>41030</v>
      </c>
      <c r="F32" s="733" t="s">
        <v>3277</v>
      </c>
      <c r="G32" s="674"/>
    </row>
    <row r="33" spans="1:7" s="353" customFormat="1" ht="27" customHeight="1">
      <c r="A33" s="663">
        <v>30</v>
      </c>
      <c r="B33" s="669" t="s">
        <v>2869</v>
      </c>
      <c r="C33" s="669" t="s">
        <v>2870</v>
      </c>
      <c r="D33" s="669"/>
      <c r="E33" s="679"/>
      <c r="F33" s="677" t="s">
        <v>2871</v>
      </c>
      <c r="G33" s="674"/>
    </row>
    <row r="34" spans="1:7" s="353" customFormat="1" ht="27" customHeight="1">
      <c r="A34" s="663">
        <v>31</v>
      </c>
      <c r="B34" s="669" t="s">
        <v>2869</v>
      </c>
      <c r="C34" s="669" t="s">
        <v>2872</v>
      </c>
      <c r="D34" s="669"/>
      <c r="E34" s="679"/>
      <c r="F34" s="677" t="s">
        <v>2873</v>
      </c>
      <c r="G34" s="674"/>
    </row>
    <row r="35" spans="1:7" s="353" customFormat="1" ht="25.5">
      <c r="A35" s="680">
        <v>32</v>
      </c>
      <c r="B35" s="669" t="s">
        <v>2874</v>
      </c>
      <c r="C35" s="669" t="s">
        <v>2875</v>
      </c>
      <c r="D35" s="669" t="s">
        <v>2876</v>
      </c>
      <c r="E35" s="678">
        <v>2022</v>
      </c>
      <c r="F35" s="669"/>
      <c r="G35" s="674" t="s">
        <v>2877</v>
      </c>
    </row>
    <row r="36" spans="1:7" s="353" customFormat="1">
      <c r="A36" s="680">
        <v>33</v>
      </c>
      <c r="B36" s="669" t="s">
        <v>2874</v>
      </c>
      <c r="C36" s="669" t="s">
        <v>2878</v>
      </c>
      <c r="D36" s="669" t="s">
        <v>2879</v>
      </c>
      <c r="E36" s="678">
        <v>2022</v>
      </c>
      <c r="F36" s="8" t="s">
        <v>2880</v>
      </c>
      <c r="G36" s="674"/>
    </row>
    <row r="37" spans="1:7" s="353" customFormat="1" ht="45.75" customHeight="1">
      <c r="A37" s="663">
        <v>33</v>
      </c>
      <c r="B37" s="669" t="s">
        <v>2796</v>
      </c>
      <c r="C37" s="665" t="s">
        <v>2826</v>
      </c>
      <c r="D37" s="665" t="s">
        <v>2801</v>
      </c>
      <c r="E37" s="666">
        <v>2006</v>
      </c>
      <c r="F37" s="667" t="s">
        <v>2799</v>
      </c>
      <c r="G37" s="674"/>
    </row>
    <row r="38" spans="1:7" s="353" customFormat="1" ht="45.75" customHeight="1">
      <c r="A38" s="663">
        <v>34</v>
      </c>
      <c r="B38" s="669" t="s">
        <v>2881</v>
      </c>
      <c r="C38" s="665" t="s">
        <v>2882</v>
      </c>
      <c r="D38" s="665"/>
      <c r="E38" s="681">
        <v>44075</v>
      </c>
      <c r="F38" s="682" t="s">
        <v>2883</v>
      </c>
      <c r="G38" s="674"/>
    </row>
    <row r="39" spans="1:7" ht="42.75">
      <c r="A39" s="683">
        <v>35</v>
      </c>
      <c r="B39" s="684"/>
      <c r="C39" s="684" t="s">
        <v>2884</v>
      </c>
      <c r="D39" s="685" t="s">
        <v>2885</v>
      </c>
      <c r="E39" s="686">
        <v>2021</v>
      </c>
      <c r="F39" s="687" t="s">
        <v>2886</v>
      </c>
      <c r="G39" s="688"/>
    </row>
    <row r="40" spans="1:7" ht="42.75">
      <c r="A40" s="683">
        <v>36</v>
      </c>
      <c r="B40" s="684"/>
      <c r="C40" s="684" t="s">
        <v>2887</v>
      </c>
      <c r="D40" s="685" t="s">
        <v>2885</v>
      </c>
      <c r="E40" s="686">
        <v>2021</v>
      </c>
      <c r="F40" s="687" t="s">
        <v>2888</v>
      </c>
      <c r="G40" s="688"/>
    </row>
    <row r="41" spans="1:7">
      <c r="A41" s="683">
        <v>37</v>
      </c>
      <c r="B41" s="684"/>
      <c r="C41" s="684"/>
      <c r="D41" s="684"/>
      <c r="E41" s="686"/>
      <c r="F41" s="684"/>
      <c r="G41" s="688"/>
    </row>
    <row r="42" spans="1:7" ht="57">
      <c r="A42" s="683">
        <v>38</v>
      </c>
      <c r="B42" s="684"/>
      <c r="C42" s="684" t="s">
        <v>2889</v>
      </c>
      <c r="D42" s="685" t="s">
        <v>2890</v>
      </c>
      <c r="E42" s="686">
        <v>2021</v>
      </c>
      <c r="F42" s="687" t="s">
        <v>2891</v>
      </c>
      <c r="G42" s="688"/>
    </row>
    <row r="43" spans="1:7">
      <c r="A43" s="683">
        <v>39</v>
      </c>
      <c r="B43" s="669" t="s">
        <v>2796</v>
      </c>
      <c r="C43" s="665" t="s">
        <v>2926</v>
      </c>
      <c r="D43" s="665" t="s">
        <v>2927</v>
      </c>
      <c r="E43" s="666">
        <v>2024</v>
      </c>
      <c r="F43" s="732" t="s">
        <v>2928</v>
      </c>
      <c r="G43" s="671" t="s">
        <v>2808</v>
      </c>
    </row>
    <row r="44" spans="1:7">
      <c r="A44" s="683">
        <v>40</v>
      </c>
      <c r="B44" s="684"/>
      <c r="C44" s="665" t="s">
        <v>3279</v>
      </c>
      <c r="D44" s="684"/>
      <c r="E44" s="686">
        <v>2023</v>
      </c>
      <c r="F44" s="1400" t="s">
        <v>3278</v>
      </c>
      <c r="G44" s="688"/>
    </row>
    <row r="45" spans="1:7">
      <c r="A45" s="683">
        <v>41</v>
      </c>
      <c r="B45" s="684" t="s">
        <v>3301</v>
      </c>
      <c r="C45" s="684" t="s">
        <v>3302</v>
      </c>
      <c r="D45" s="684" t="s">
        <v>3305</v>
      </c>
      <c r="E45" s="686">
        <v>2023</v>
      </c>
      <c r="F45" s="684" t="s">
        <v>3303</v>
      </c>
      <c r="G45" s="671" t="s">
        <v>3304</v>
      </c>
    </row>
    <row r="46" spans="1:7" ht="28.5">
      <c r="A46" s="683">
        <v>42</v>
      </c>
      <c r="B46" s="684" t="s">
        <v>2874</v>
      </c>
      <c r="C46" s="685" t="s">
        <v>4365</v>
      </c>
      <c r="D46" s="684" t="s">
        <v>4364</v>
      </c>
      <c r="E46" s="686">
        <v>2023</v>
      </c>
      <c r="F46" s="1400" t="s">
        <v>3303</v>
      </c>
      <c r="G46" s="671" t="s">
        <v>4366</v>
      </c>
    </row>
    <row r="47" spans="1:7">
      <c r="A47" s="683"/>
      <c r="B47" s="684"/>
      <c r="C47" s="684"/>
      <c r="D47" s="684"/>
      <c r="E47" s="686"/>
      <c r="F47" s="684"/>
      <c r="G47" s="688"/>
    </row>
    <row r="48" spans="1:7">
      <c r="A48" s="683"/>
      <c r="B48" s="684"/>
      <c r="C48" s="684"/>
      <c r="D48" s="684"/>
      <c r="E48" s="686"/>
      <c r="F48" s="684"/>
      <c r="G48" s="688"/>
    </row>
    <row r="49" spans="1:7">
      <c r="A49" s="683"/>
      <c r="B49" s="684"/>
      <c r="C49" s="684"/>
      <c r="D49" s="684"/>
      <c r="E49" s="686"/>
      <c r="F49" s="684"/>
      <c r="G49" s="688"/>
    </row>
    <row r="50" spans="1:7">
      <c r="A50" s="683"/>
      <c r="B50" s="684"/>
      <c r="C50" s="684"/>
      <c r="D50" s="684"/>
      <c r="E50" s="686"/>
      <c r="F50" s="684"/>
      <c r="G50" s="688"/>
    </row>
    <row r="51" spans="1:7">
      <c r="A51" s="683"/>
      <c r="B51" s="684"/>
      <c r="C51" s="684"/>
      <c r="D51" s="684"/>
      <c r="E51" s="686"/>
      <c r="F51" s="684"/>
      <c r="G51" s="688"/>
    </row>
    <row r="52" spans="1:7">
      <c r="A52" s="683"/>
      <c r="B52" s="684"/>
      <c r="C52" s="684"/>
      <c r="D52" s="684"/>
      <c r="E52" s="686"/>
      <c r="F52" s="684"/>
      <c r="G52" s="688"/>
    </row>
    <row r="53" spans="1:7">
      <c r="A53" s="683"/>
      <c r="B53" s="684"/>
      <c r="C53" s="684"/>
      <c r="D53" s="684"/>
      <c r="E53" s="686"/>
      <c r="F53" s="684"/>
      <c r="G53" s="688"/>
    </row>
    <row r="54" spans="1:7">
      <c r="A54" s="683"/>
      <c r="B54" s="684"/>
      <c r="C54" s="684"/>
      <c r="D54" s="684"/>
      <c r="E54" s="686"/>
      <c r="F54" s="684"/>
      <c r="G54" s="688"/>
    </row>
    <row r="55" spans="1:7">
      <c r="A55" s="683"/>
      <c r="B55" s="684"/>
      <c r="C55" s="684"/>
      <c r="D55" s="684"/>
      <c r="E55" s="686"/>
      <c r="F55" s="684"/>
      <c r="G55" s="688"/>
    </row>
    <row r="56" spans="1:7">
      <c r="A56" s="683"/>
      <c r="B56" s="684"/>
      <c r="C56" s="684"/>
      <c r="D56" s="684"/>
      <c r="E56" s="686"/>
      <c r="F56" s="684"/>
      <c r="G56" s="688"/>
    </row>
    <row r="57" spans="1:7">
      <c r="A57" s="683"/>
      <c r="B57" s="684"/>
      <c r="C57" s="684"/>
      <c r="D57" s="684"/>
      <c r="E57" s="686"/>
      <c r="F57" s="684"/>
      <c r="G57" s="688"/>
    </row>
    <row r="58" spans="1:7">
      <c r="A58" s="689"/>
      <c r="B58" s="690"/>
      <c r="C58" s="690"/>
      <c r="D58" s="690"/>
      <c r="E58" s="691"/>
      <c r="F58" s="690"/>
      <c r="G58" s="692"/>
    </row>
  </sheetData>
  <sheetProtection algorithmName="SHA-512" hashValue="2RbhNISSj/oHIcD95ODU73NA6ZQrLcoA+/2OdvOgiXsG2E73N8+lzk0Mv+WWi6fx5qx9n9nWAbQBPBdMJTrKSg==" saltValue="eguPN9VXkMCElmdD2uYDlw==" spinCount="100000" sheet="1" objects="1" scenarios="1"/>
  <hyperlinks>
    <hyperlink ref="F11" r:id="rId1" xr:uid="{6F8AE1FA-B622-4E5B-96F5-D92CE408D4B5}"/>
    <hyperlink ref="F8" r:id="rId2" xr:uid="{696BE876-A889-4852-B450-4174977A1D09}"/>
    <hyperlink ref="F27" r:id="rId3" xr:uid="{CE493356-251B-422F-93A1-2E11FFEE1AB1}"/>
    <hyperlink ref="F34" r:id="rId4" display="https://www.bochealthcare.co.uk/en/images/HLC_506810-MGDS Medical carbon dioxide%28web%29_tcm409-61147.pdf" xr:uid="{55EF7EDA-91D2-4831-BA26-0A86F613DA74}"/>
    <hyperlink ref="F39" r:id="rId5" display="https://www.eia.gov/energyexplained/biofuels/ethanol-use.php" xr:uid="{F0EEDB27-A720-4712-B7B7-061AD41EC59A}"/>
    <hyperlink ref="F40" r:id="rId6" display="https://www.eia.gov/energyexplained/biofuels/biodiesel-rd-other-use-supply.php" xr:uid="{54B5D1BA-9B24-4703-8107-7D207A01058D}"/>
    <hyperlink ref="F42" r:id="rId7" display="https://www.epa.gov/ghgemissions/understanding-global-warming-potentials" xr:uid="{9ED024C5-50C7-4FE5-B221-C0E6DA4553F7}"/>
    <hyperlink ref="F36" r:id="rId8" display="https://www.epa.gov/egrid/summary-data" xr:uid="{3BD7A66C-E4AF-4EA2-BBA9-CD846F11714B}"/>
    <hyperlink ref="F29" r:id="rId9" xr:uid="{48E78405-BD71-4481-B7DF-719DD22A6B92}"/>
    <hyperlink ref="F43" r:id="rId10" xr:uid="{35671FD2-7454-4270-85E8-DED9DBF5D55B}"/>
    <hyperlink ref="F4" r:id="rId11" xr:uid="{9DC774FC-48EA-40E0-9FC6-8D7C0696C651}"/>
    <hyperlink ref="G4" r:id="rId12" xr:uid="{DF9FEA9E-B1A6-4FF8-9E28-B05AB069883C}"/>
    <hyperlink ref="F5" r:id="rId13" xr:uid="{E85EF91D-3A09-4E69-8EF1-3378143DB550}"/>
    <hyperlink ref="F32" r:id="rId14" xr:uid="{0F0852E4-94AA-431E-84F0-2A13FFC00885}"/>
    <hyperlink ref="F25" r:id="rId15" xr:uid="{C9F58320-B88A-44D1-AF54-62011144887B}"/>
    <hyperlink ref="F30" r:id="rId16" xr:uid="{85E1214D-4440-4CFA-BDAA-923A4C00B01D}"/>
    <hyperlink ref="F46" r:id="rId17" xr:uid="{36E6767F-19C8-4538-A0DD-8165ECCCBFFB}"/>
    <hyperlink ref="F44" r:id="rId18" xr:uid="{AF3EEF8E-B914-415C-98F2-F537B5483CDF}"/>
  </hyperlinks>
  <pageMargins left="0.7" right="0.7" top="0.75" bottom="0.75" header="0.3" footer="0.3"/>
  <pageSetup paperSize="9" scale="31" orientation="portrait" r:id="rId19"/>
  <drawing r:id="rId2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FAB74-D8B1-4D3A-9922-B60841AB2EA2}">
  <sheetPr codeName="Sheet11">
    <tabColor rgb="FF94E494"/>
  </sheetPr>
  <dimension ref="A1:G359"/>
  <sheetViews>
    <sheetView showGridLines="0" zoomScaleNormal="100" workbookViewId="0">
      <pane ySplit="10" topLeftCell="A11" activePane="bottomLeft" state="frozen"/>
      <selection pane="bottomLeft" activeCell="F34" sqref="F34"/>
    </sheetView>
  </sheetViews>
  <sheetFormatPr defaultColWidth="10.5" defaultRowHeight="14.25"/>
  <cols>
    <col min="1" max="1" width="14.875" style="717" bestFit="1" customWidth="1"/>
    <col min="2" max="2" width="11.375" style="717" customWidth="1"/>
    <col min="3" max="3" width="11.875" style="717" customWidth="1"/>
    <col min="4" max="4" width="44.625" style="717" customWidth="1"/>
    <col min="5" max="5" width="11.125" style="717" bestFit="1" customWidth="1"/>
    <col min="6" max="6" width="34.125" style="717" customWidth="1"/>
    <col min="7" max="7" width="58.875" style="717" customWidth="1"/>
    <col min="8" max="16384" width="10.5" style="718"/>
  </cols>
  <sheetData>
    <row r="1" spans="1:7" s="1" customFormat="1" ht="23.25">
      <c r="D1" s="709" t="str">
        <f>+Instructions!B2</f>
        <v>Health Care Emissions Impact Calculator-Facility</v>
      </c>
    </row>
    <row r="2" spans="1:7" s="1" customFormat="1"/>
    <row r="3" spans="1:7" s="1" customFormat="1"/>
    <row r="4" spans="1:7" s="1" customFormat="1"/>
    <row r="5" spans="1:7" s="1" customFormat="1"/>
    <row r="6" spans="1:7" s="1" customFormat="1" ht="15">
      <c r="A6" s="710" t="s">
        <v>1844</v>
      </c>
      <c r="B6" s="497"/>
      <c r="C6" s="12"/>
    </row>
    <row r="7" spans="1:7" s="1" customFormat="1">
      <c r="A7" s="1531" t="s">
        <v>2909</v>
      </c>
      <c r="B7" s="1531"/>
      <c r="C7" s="1531"/>
      <c r="D7" s="1531"/>
      <c r="E7" s="1531"/>
      <c r="F7" s="1531"/>
    </row>
    <row r="8" spans="1:7" s="1" customFormat="1" ht="30.6" customHeight="1">
      <c r="A8" s="1459" t="s">
        <v>2910</v>
      </c>
      <c r="B8" s="1459"/>
      <c r="C8" s="1459"/>
      <c r="D8" s="1459"/>
      <c r="E8" s="1459"/>
      <c r="F8" s="1459"/>
    </row>
    <row r="9" spans="1:7" s="1" customFormat="1"/>
    <row r="10" spans="1:7" s="712" customFormat="1" ht="25.5">
      <c r="A10" s="711" t="s">
        <v>2911</v>
      </c>
      <c r="B10" s="711" t="s">
        <v>1956</v>
      </c>
      <c r="C10" s="711" t="s">
        <v>0</v>
      </c>
      <c r="D10" s="711" t="s">
        <v>2912</v>
      </c>
      <c r="E10" s="711" t="s">
        <v>2913</v>
      </c>
      <c r="F10" s="711" t="s">
        <v>1943</v>
      </c>
      <c r="G10" s="711" t="s">
        <v>2914</v>
      </c>
    </row>
    <row r="11" spans="1:7" s="716" customFormat="1">
      <c r="A11" s="713"/>
      <c r="B11" s="714"/>
      <c r="C11" s="714"/>
      <c r="D11" s="714"/>
      <c r="E11" s="715"/>
      <c r="F11" s="714"/>
      <c r="G11" s="714"/>
    </row>
    <row r="12" spans="1:7" s="716" customFormat="1">
      <c r="A12" s="713"/>
      <c r="B12" s="714"/>
      <c r="C12" s="714"/>
      <c r="D12" s="714"/>
      <c r="E12" s="715"/>
      <c r="F12" s="714"/>
      <c r="G12" s="714"/>
    </row>
    <row r="13" spans="1:7" s="716" customFormat="1">
      <c r="A13" s="713"/>
      <c r="B13" s="714"/>
      <c r="C13" s="714"/>
      <c r="D13" s="714"/>
      <c r="E13" s="715"/>
      <c r="F13" s="714"/>
      <c r="G13" s="714"/>
    </row>
    <row r="14" spans="1:7">
      <c r="D14" s="714"/>
    </row>
    <row r="15" spans="1:7">
      <c r="D15" s="714"/>
    </row>
    <row r="16" spans="1:7">
      <c r="D16" s="714"/>
    </row>
    <row r="17" spans="4:4">
      <c r="D17" s="714"/>
    </row>
    <row r="18" spans="4:4">
      <c r="D18" s="714"/>
    </row>
    <row r="19" spans="4:4">
      <c r="D19" s="714"/>
    </row>
    <row r="20" spans="4:4">
      <c r="D20" s="714"/>
    </row>
    <row r="21" spans="4:4">
      <c r="D21" s="714"/>
    </row>
    <row r="22" spans="4:4">
      <c r="D22" s="714"/>
    </row>
    <row r="23" spans="4:4">
      <c r="D23" s="714"/>
    </row>
    <row r="24" spans="4:4">
      <c r="D24" s="714"/>
    </row>
    <row r="25" spans="4:4">
      <c r="D25" s="714"/>
    </row>
    <row r="26" spans="4:4">
      <c r="D26" s="714"/>
    </row>
    <row r="27" spans="4:4">
      <c r="D27" s="714"/>
    </row>
    <row r="28" spans="4:4">
      <c r="D28" s="714"/>
    </row>
    <row r="29" spans="4:4">
      <c r="D29" s="714"/>
    </row>
    <row r="30" spans="4:4">
      <c r="D30" s="714"/>
    </row>
    <row r="31" spans="4:4">
      <c r="D31" s="714"/>
    </row>
    <row r="32" spans="4:4">
      <c r="D32" s="714"/>
    </row>
    <row r="33" spans="4:4">
      <c r="D33" s="714"/>
    </row>
    <row r="34" spans="4:4">
      <c r="D34" s="714"/>
    </row>
    <row r="35" spans="4:4">
      <c r="D35" s="714"/>
    </row>
    <row r="36" spans="4:4">
      <c r="D36" s="714"/>
    </row>
    <row r="37" spans="4:4">
      <c r="D37" s="714"/>
    </row>
    <row r="38" spans="4:4">
      <c r="D38" s="714"/>
    </row>
    <row r="39" spans="4:4">
      <c r="D39" s="714"/>
    </row>
    <row r="40" spans="4:4">
      <c r="D40" s="714"/>
    </row>
    <row r="41" spans="4:4">
      <c r="D41" s="714"/>
    </row>
    <row r="42" spans="4:4">
      <c r="D42" s="714"/>
    </row>
    <row r="43" spans="4:4">
      <c r="D43" s="714"/>
    </row>
    <row r="44" spans="4:4">
      <c r="D44" s="714"/>
    </row>
    <row r="45" spans="4:4">
      <c r="D45" s="714"/>
    </row>
    <row r="46" spans="4:4">
      <c r="D46" s="714"/>
    </row>
    <row r="47" spans="4:4">
      <c r="D47" s="714"/>
    </row>
    <row r="48" spans="4:4">
      <c r="D48" s="714"/>
    </row>
    <row r="49" spans="4:4">
      <c r="D49" s="714"/>
    </row>
    <row r="50" spans="4:4">
      <c r="D50" s="714"/>
    </row>
    <row r="51" spans="4:4">
      <c r="D51" s="714"/>
    </row>
    <row r="52" spans="4:4">
      <c r="D52" s="714"/>
    </row>
    <row r="53" spans="4:4">
      <c r="D53" s="714"/>
    </row>
    <row r="54" spans="4:4">
      <c r="D54" s="714"/>
    </row>
    <row r="55" spans="4:4">
      <c r="D55" s="714"/>
    </row>
    <row r="56" spans="4:4">
      <c r="D56" s="714"/>
    </row>
    <row r="57" spans="4:4">
      <c r="D57" s="714"/>
    </row>
    <row r="58" spans="4:4">
      <c r="D58" s="714"/>
    </row>
    <row r="59" spans="4:4">
      <c r="D59" s="714"/>
    </row>
    <row r="60" spans="4:4">
      <c r="D60" s="714"/>
    </row>
    <row r="61" spans="4:4">
      <c r="D61" s="714"/>
    </row>
    <row r="62" spans="4:4">
      <c r="D62" s="714"/>
    </row>
    <row r="63" spans="4:4">
      <c r="D63" s="714"/>
    </row>
    <row r="64" spans="4:4">
      <c r="D64" s="714"/>
    </row>
    <row r="65" spans="4:4">
      <c r="D65" s="714"/>
    </row>
    <row r="66" spans="4:4">
      <c r="D66" s="714"/>
    </row>
    <row r="67" spans="4:4">
      <c r="D67" s="714"/>
    </row>
    <row r="68" spans="4:4">
      <c r="D68" s="714"/>
    </row>
    <row r="69" spans="4:4">
      <c r="D69" s="714"/>
    </row>
    <row r="70" spans="4:4">
      <c r="D70" s="714"/>
    </row>
    <row r="71" spans="4:4">
      <c r="D71" s="714"/>
    </row>
    <row r="72" spans="4:4">
      <c r="D72" s="714"/>
    </row>
    <row r="73" spans="4:4">
      <c r="D73" s="714"/>
    </row>
    <row r="74" spans="4:4">
      <c r="D74" s="714"/>
    </row>
    <row r="75" spans="4:4">
      <c r="D75" s="714"/>
    </row>
    <row r="76" spans="4:4">
      <c r="D76" s="714"/>
    </row>
    <row r="77" spans="4:4">
      <c r="D77" s="714"/>
    </row>
    <row r="78" spans="4:4">
      <c r="D78" s="714"/>
    </row>
    <row r="79" spans="4:4">
      <c r="D79" s="714"/>
    </row>
    <row r="80" spans="4:4">
      <c r="D80" s="714"/>
    </row>
    <row r="81" spans="4:4">
      <c r="D81" s="714"/>
    </row>
    <row r="82" spans="4:4">
      <c r="D82" s="714"/>
    </row>
    <row r="83" spans="4:4">
      <c r="D83" s="714"/>
    </row>
    <row r="84" spans="4:4">
      <c r="D84" s="714"/>
    </row>
    <row r="85" spans="4:4">
      <c r="D85" s="714"/>
    </row>
    <row r="86" spans="4:4">
      <c r="D86" s="714"/>
    </row>
    <row r="87" spans="4:4">
      <c r="D87" s="714"/>
    </row>
    <row r="88" spans="4:4">
      <c r="D88" s="714"/>
    </row>
    <row r="89" spans="4:4">
      <c r="D89" s="714"/>
    </row>
    <row r="90" spans="4:4">
      <c r="D90" s="714"/>
    </row>
    <row r="91" spans="4:4">
      <c r="D91" s="714"/>
    </row>
    <row r="92" spans="4:4">
      <c r="D92" s="714"/>
    </row>
    <row r="93" spans="4:4">
      <c r="D93" s="714"/>
    </row>
    <row r="94" spans="4:4">
      <c r="D94" s="714"/>
    </row>
    <row r="95" spans="4:4">
      <c r="D95" s="714"/>
    </row>
    <row r="96" spans="4:4">
      <c r="D96" s="714"/>
    </row>
    <row r="97" spans="4:4">
      <c r="D97" s="714"/>
    </row>
    <row r="98" spans="4:4">
      <c r="D98" s="714"/>
    </row>
    <row r="99" spans="4:4">
      <c r="D99" s="714"/>
    </row>
    <row r="100" spans="4:4">
      <c r="D100" s="714"/>
    </row>
    <row r="101" spans="4:4">
      <c r="D101" s="714"/>
    </row>
    <row r="102" spans="4:4">
      <c r="D102" s="714"/>
    </row>
    <row r="103" spans="4:4">
      <c r="D103" s="714"/>
    </row>
    <row r="104" spans="4:4">
      <c r="D104" s="714"/>
    </row>
    <row r="105" spans="4:4">
      <c r="D105" s="714"/>
    </row>
    <row r="106" spans="4:4">
      <c r="D106" s="714"/>
    </row>
    <row r="107" spans="4:4">
      <c r="D107" s="714"/>
    </row>
    <row r="108" spans="4:4">
      <c r="D108" s="714"/>
    </row>
    <row r="109" spans="4:4">
      <c r="D109" s="714"/>
    </row>
    <row r="110" spans="4:4">
      <c r="D110" s="714"/>
    </row>
    <row r="111" spans="4:4">
      <c r="D111" s="714"/>
    </row>
    <row r="112" spans="4:4">
      <c r="D112" s="714"/>
    </row>
    <row r="113" spans="4:4">
      <c r="D113" s="714"/>
    </row>
    <row r="114" spans="4:4">
      <c r="D114" s="714"/>
    </row>
    <row r="115" spans="4:4">
      <c r="D115" s="714"/>
    </row>
    <row r="116" spans="4:4">
      <c r="D116" s="714"/>
    </row>
    <row r="117" spans="4:4">
      <c r="D117" s="714"/>
    </row>
    <row r="118" spans="4:4">
      <c r="D118" s="714"/>
    </row>
    <row r="119" spans="4:4">
      <c r="D119" s="714"/>
    </row>
    <row r="120" spans="4:4">
      <c r="D120" s="714"/>
    </row>
    <row r="121" spans="4:4">
      <c r="D121" s="714"/>
    </row>
    <row r="122" spans="4:4">
      <c r="D122" s="714"/>
    </row>
    <row r="123" spans="4:4">
      <c r="D123" s="714"/>
    </row>
    <row r="124" spans="4:4">
      <c r="D124" s="714"/>
    </row>
    <row r="125" spans="4:4">
      <c r="D125" s="714"/>
    </row>
    <row r="126" spans="4:4">
      <c r="D126" s="714"/>
    </row>
    <row r="127" spans="4:4">
      <c r="D127" s="714"/>
    </row>
    <row r="128" spans="4:4">
      <c r="D128" s="714"/>
    </row>
    <row r="129" spans="4:4">
      <c r="D129" s="714"/>
    </row>
    <row r="130" spans="4:4">
      <c r="D130" s="714"/>
    </row>
    <row r="131" spans="4:4">
      <c r="D131" s="714"/>
    </row>
    <row r="132" spans="4:4">
      <c r="D132" s="714"/>
    </row>
    <row r="133" spans="4:4">
      <c r="D133" s="714"/>
    </row>
    <row r="134" spans="4:4">
      <c r="D134" s="714"/>
    </row>
    <row r="135" spans="4:4">
      <c r="D135" s="714"/>
    </row>
    <row r="136" spans="4:4">
      <c r="D136" s="714"/>
    </row>
    <row r="137" spans="4:4">
      <c r="D137" s="714"/>
    </row>
    <row r="138" spans="4:4">
      <c r="D138" s="714"/>
    </row>
    <row r="139" spans="4:4">
      <c r="D139" s="714"/>
    </row>
    <row r="140" spans="4:4">
      <c r="D140" s="714"/>
    </row>
    <row r="141" spans="4:4">
      <c r="D141" s="714"/>
    </row>
    <row r="142" spans="4:4">
      <c r="D142" s="714"/>
    </row>
    <row r="143" spans="4:4">
      <c r="D143" s="714"/>
    </row>
    <row r="144" spans="4:4">
      <c r="D144" s="714"/>
    </row>
    <row r="145" spans="4:4">
      <c r="D145" s="714"/>
    </row>
    <row r="146" spans="4:4">
      <c r="D146" s="714"/>
    </row>
    <row r="147" spans="4:4">
      <c r="D147" s="714"/>
    </row>
    <row r="148" spans="4:4">
      <c r="D148" s="714"/>
    </row>
    <row r="149" spans="4:4">
      <c r="D149" s="714"/>
    </row>
    <row r="150" spans="4:4">
      <c r="D150" s="714"/>
    </row>
    <row r="151" spans="4:4">
      <c r="D151" s="714"/>
    </row>
    <row r="152" spans="4:4">
      <c r="D152" s="714"/>
    </row>
    <row r="153" spans="4:4">
      <c r="D153" s="714"/>
    </row>
    <row r="154" spans="4:4">
      <c r="D154" s="714"/>
    </row>
    <row r="155" spans="4:4">
      <c r="D155" s="714"/>
    </row>
    <row r="156" spans="4:4">
      <c r="D156" s="714"/>
    </row>
    <row r="157" spans="4:4">
      <c r="D157" s="714"/>
    </row>
    <row r="158" spans="4:4">
      <c r="D158" s="714"/>
    </row>
    <row r="159" spans="4:4">
      <c r="D159" s="714"/>
    </row>
    <row r="160" spans="4:4">
      <c r="D160" s="714"/>
    </row>
    <row r="161" spans="4:4">
      <c r="D161" s="714"/>
    </row>
    <row r="162" spans="4:4">
      <c r="D162" s="714"/>
    </row>
    <row r="163" spans="4:4">
      <c r="D163" s="714"/>
    </row>
    <row r="164" spans="4:4">
      <c r="D164" s="714"/>
    </row>
    <row r="165" spans="4:4">
      <c r="D165" s="714"/>
    </row>
    <row r="166" spans="4:4">
      <c r="D166" s="714"/>
    </row>
    <row r="167" spans="4:4">
      <c r="D167" s="714"/>
    </row>
    <row r="168" spans="4:4">
      <c r="D168" s="714"/>
    </row>
    <row r="169" spans="4:4">
      <c r="D169" s="714"/>
    </row>
    <row r="170" spans="4:4">
      <c r="D170" s="714"/>
    </row>
    <row r="171" spans="4:4">
      <c r="D171" s="714"/>
    </row>
    <row r="172" spans="4:4">
      <c r="D172" s="714"/>
    </row>
    <row r="173" spans="4:4">
      <c r="D173" s="714"/>
    </row>
    <row r="174" spans="4:4">
      <c r="D174" s="714"/>
    </row>
    <row r="175" spans="4:4">
      <c r="D175" s="714"/>
    </row>
    <row r="176" spans="4:4">
      <c r="D176" s="714"/>
    </row>
    <row r="177" spans="4:4">
      <c r="D177" s="714"/>
    </row>
    <row r="178" spans="4:4">
      <c r="D178" s="714"/>
    </row>
    <row r="179" spans="4:4">
      <c r="D179" s="714"/>
    </row>
    <row r="180" spans="4:4">
      <c r="D180" s="714"/>
    </row>
    <row r="181" spans="4:4">
      <c r="D181" s="714"/>
    </row>
    <row r="182" spans="4:4">
      <c r="D182" s="714"/>
    </row>
    <row r="183" spans="4:4">
      <c r="D183" s="714"/>
    </row>
    <row r="184" spans="4:4">
      <c r="D184" s="714"/>
    </row>
    <row r="185" spans="4:4">
      <c r="D185" s="714"/>
    </row>
    <row r="186" spans="4:4">
      <c r="D186" s="714"/>
    </row>
    <row r="187" spans="4:4">
      <c r="D187" s="714"/>
    </row>
    <row r="188" spans="4:4">
      <c r="D188" s="714"/>
    </row>
    <row r="189" spans="4:4">
      <c r="D189" s="714"/>
    </row>
    <row r="190" spans="4:4">
      <c r="D190" s="714"/>
    </row>
    <row r="191" spans="4:4">
      <c r="D191" s="714"/>
    </row>
    <row r="192" spans="4:4">
      <c r="D192" s="714"/>
    </row>
    <row r="193" spans="4:4">
      <c r="D193" s="714"/>
    </row>
    <row r="194" spans="4:4">
      <c r="D194" s="714"/>
    </row>
    <row r="195" spans="4:4">
      <c r="D195" s="714"/>
    </row>
    <row r="196" spans="4:4">
      <c r="D196" s="714"/>
    </row>
    <row r="197" spans="4:4">
      <c r="D197" s="714"/>
    </row>
    <row r="198" spans="4:4">
      <c r="D198" s="714"/>
    </row>
    <row r="199" spans="4:4">
      <c r="D199" s="714"/>
    </row>
    <row r="200" spans="4:4">
      <c r="D200" s="714"/>
    </row>
    <row r="201" spans="4:4">
      <c r="D201" s="714"/>
    </row>
    <row r="202" spans="4:4">
      <c r="D202" s="714"/>
    </row>
    <row r="203" spans="4:4">
      <c r="D203" s="714"/>
    </row>
    <row r="204" spans="4:4">
      <c r="D204" s="714"/>
    </row>
    <row r="205" spans="4:4">
      <c r="D205" s="714"/>
    </row>
    <row r="206" spans="4:4">
      <c r="D206" s="714"/>
    </row>
    <row r="207" spans="4:4">
      <c r="D207" s="714"/>
    </row>
    <row r="208" spans="4:4">
      <c r="D208" s="714"/>
    </row>
    <row r="209" spans="4:4">
      <c r="D209" s="714"/>
    </row>
    <row r="210" spans="4:4">
      <c r="D210" s="714"/>
    </row>
    <row r="211" spans="4:4">
      <c r="D211" s="714"/>
    </row>
    <row r="212" spans="4:4">
      <c r="D212" s="714"/>
    </row>
    <row r="213" spans="4:4">
      <c r="D213" s="714"/>
    </row>
    <row r="214" spans="4:4">
      <c r="D214" s="714"/>
    </row>
    <row r="215" spans="4:4">
      <c r="D215" s="714"/>
    </row>
    <row r="216" spans="4:4">
      <c r="D216" s="714"/>
    </row>
    <row r="217" spans="4:4">
      <c r="D217" s="714"/>
    </row>
    <row r="218" spans="4:4">
      <c r="D218" s="714"/>
    </row>
    <row r="219" spans="4:4">
      <c r="D219" s="714"/>
    </row>
    <row r="220" spans="4:4">
      <c r="D220" s="714"/>
    </row>
    <row r="221" spans="4:4">
      <c r="D221" s="714"/>
    </row>
    <row r="222" spans="4:4">
      <c r="D222" s="714"/>
    </row>
    <row r="223" spans="4:4">
      <c r="D223" s="714"/>
    </row>
    <row r="224" spans="4:4">
      <c r="D224" s="714"/>
    </row>
    <row r="225" spans="4:4">
      <c r="D225" s="714"/>
    </row>
    <row r="226" spans="4:4">
      <c r="D226" s="714"/>
    </row>
    <row r="227" spans="4:4">
      <c r="D227" s="714"/>
    </row>
    <row r="228" spans="4:4">
      <c r="D228" s="714"/>
    </row>
    <row r="229" spans="4:4">
      <c r="D229" s="714"/>
    </row>
    <row r="230" spans="4:4">
      <c r="D230" s="714"/>
    </row>
    <row r="231" spans="4:4">
      <c r="D231" s="714"/>
    </row>
    <row r="232" spans="4:4">
      <c r="D232" s="714"/>
    </row>
    <row r="233" spans="4:4">
      <c r="D233" s="714"/>
    </row>
    <row r="234" spans="4:4">
      <c r="D234" s="714"/>
    </row>
    <row r="235" spans="4:4">
      <c r="D235" s="714"/>
    </row>
    <row r="236" spans="4:4">
      <c r="D236" s="714"/>
    </row>
    <row r="237" spans="4:4">
      <c r="D237" s="714"/>
    </row>
    <row r="238" spans="4:4">
      <c r="D238" s="714"/>
    </row>
    <row r="239" spans="4:4">
      <c r="D239" s="714"/>
    </row>
    <row r="240" spans="4:4">
      <c r="D240" s="714"/>
    </row>
    <row r="241" spans="4:4">
      <c r="D241" s="714"/>
    </row>
    <row r="242" spans="4:4">
      <c r="D242" s="714"/>
    </row>
    <row r="243" spans="4:4">
      <c r="D243" s="714"/>
    </row>
    <row r="244" spans="4:4">
      <c r="D244" s="714"/>
    </row>
    <row r="245" spans="4:4">
      <c r="D245" s="714"/>
    </row>
    <row r="246" spans="4:4">
      <c r="D246" s="714"/>
    </row>
    <row r="247" spans="4:4">
      <c r="D247" s="714"/>
    </row>
    <row r="248" spans="4:4">
      <c r="D248" s="714"/>
    </row>
    <row r="249" spans="4:4">
      <c r="D249" s="714"/>
    </row>
    <row r="250" spans="4:4">
      <c r="D250" s="714"/>
    </row>
    <row r="251" spans="4:4">
      <c r="D251" s="714"/>
    </row>
    <row r="252" spans="4:4">
      <c r="D252" s="714"/>
    </row>
    <row r="253" spans="4:4">
      <c r="D253" s="714"/>
    </row>
    <row r="254" spans="4:4">
      <c r="D254" s="714"/>
    </row>
    <row r="255" spans="4:4">
      <c r="D255" s="714"/>
    </row>
    <row r="256" spans="4:4">
      <c r="D256" s="714"/>
    </row>
    <row r="257" spans="4:4">
      <c r="D257" s="714"/>
    </row>
    <row r="258" spans="4:4">
      <c r="D258" s="714"/>
    </row>
    <row r="259" spans="4:4">
      <c r="D259" s="714"/>
    </row>
    <row r="260" spans="4:4">
      <c r="D260" s="714"/>
    </row>
    <row r="261" spans="4:4">
      <c r="D261" s="714"/>
    </row>
    <row r="262" spans="4:4">
      <c r="D262" s="714"/>
    </row>
    <row r="263" spans="4:4">
      <c r="D263" s="714"/>
    </row>
    <row r="264" spans="4:4">
      <c r="D264" s="714"/>
    </row>
    <row r="265" spans="4:4">
      <c r="D265" s="714"/>
    </row>
    <row r="266" spans="4:4">
      <c r="D266" s="714"/>
    </row>
    <row r="267" spans="4:4">
      <c r="D267" s="714"/>
    </row>
    <row r="268" spans="4:4">
      <c r="D268" s="714"/>
    </row>
    <row r="269" spans="4:4">
      <c r="D269" s="714"/>
    </row>
    <row r="270" spans="4:4">
      <c r="D270" s="714"/>
    </row>
    <row r="271" spans="4:4">
      <c r="D271" s="714"/>
    </row>
    <row r="272" spans="4:4">
      <c r="D272" s="714"/>
    </row>
    <row r="273" spans="4:4">
      <c r="D273" s="714"/>
    </row>
    <row r="274" spans="4:4">
      <c r="D274" s="714"/>
    </row>
    <row r="275" spans="4:4">
      <c r="D275" s="714"/>
    </row>
    <row r="276" spans="4:4">
      <c r="D276" s="714"/>
    </row>
    <row r="277" spans="4:4">
      <c r="D277" s="714"/>
    </row>
    <row r="278" spans="4:4">
      <c r="D278" s="714"/>
    </row>
    <row r="279" spans="4:4">
      <c r="D279" s="714"/>
    </row>
    <row r="280" spans="4:4">
      <c r="D280" s="714"/>
    </row>
    <row r="281" spans="4:4">
      <c r="D281" s="714"/>
    </row>
    <row r="282" spans="4:4">
      <c r="D282" s="714"/>
    </row>
    <row r="283" spans="4:4">
      <c r="D283" s="714"/>
    </row>
    <row r="284" spans="4:4">
      <c r="D284" s="714"/>
    </row>
    <row r="285" spans="4:4">
      <c r="D285" s="714"/>
    </row>
    <row r="286" spans="4:4">
      <c r="D286" s="714"/>
    </row>
    <row r="287" spans="4:4">
      <c r="D287" s="714"/>
    </row>
    <row r="288" spans="4:4">
      <c r="D288" s="714"/>
    </row>
    <row r="289" spans="4:4">
      <c r="D289" s="714"/>
    </row>
    <row r="290" spans="4:4">
      <c r="D290" s="714"/>
    </row>
    <row r="291" spans="4:4">
      <c r="D291" s="714"/>
    </row>
    <row r="292" spans="4:4">
      <c r="D292" s="714"/>
    </row>
    <row r="293" spans="4:4">
      <c r="D293" s="714"/>
    </row>
    <row r="294" spans="4:4">
      <c r="D294" s="714"/>
    </row>
    <row r="295" spans="4:4">
      <c r="D295" s="714"/>
    </row>
    <row r="296" spans="4:4">
      <c r="D296" s="714"/>
    </row>
    <row r="297" spans="4:4">
      <c r="D297" s="714"/>
    </row>
    <row r="298" spans="4:4">
      <c r="D298" s="714"/>
    </row>
    <row r="299" spans="4:4">
      <c r="D299" s="714"/>
    </row>
    <row r="300" spans="4:4">
      <c r="D300" s="714"/>
    </row>
    <row r="301" spans="4:4">
      <c r="D301" s="714"/>
    </row>
    <row r="302" spans="4:4">
      <c r="D302" s="714"/>
    </row>
    <row r="303" spans="4:4">
      <c r="D303" s="714"/>
    </row>
    <row r="304" spans="4:4">
      <c r="D304" s="714"/>
    </row>
    <row r="305" spans="4:4">
      <c r="D305" s="714"/>
    </row>
    <row r="306" spans="4:4">
      <c r="D306" s="714"/>
    </row>
    <row r="307" spans="4:4">
      <c r="D307" s="714"/>
    </row>
    <row r="308" spans="4:4">
      <c r="D308" s="714"/>
    </row>
    <row r="309" spans="4:4">
      <c r="D309" s="714"/>
    </row>
    <row r="310" spans="4:4">
      <c r="D310" s="714"/>
    </row>
    <row r="311" spans="4:4">
      <c r="D311" s="714"/>
    </row>
    <row r="312" spans="4:4">
      <c r="D312" s="714"/>
    </row>
    <row r="313" spans="4:4">
      <c r="D313" s="714"/>
    </row>
    <row r="314" spans="4:4">
      <c r="D314" s="714"/>
    </row>
    <row r="315" spans="4:4">
      <c r="D315" s="714"/>
    </row>
    <row r="316" spans="4:4">
      <c r="D316" s="714"/>
    </row>
    <row r="317" spans="4:4">
      <c r="D317" s="714"/>
    </row>
    <row r="318" spans="4:4">
      <c r="D318" s="714"/>
    </row>
    <row r="319" spans="4:4">
      <c r="D319" s="714"/>
    </row>
    <row r="320" spans="4:4">
      <c r="D320" s="714"/>
    </row>
    <row r="321" spans="4:4">
      <c r="D321" s="714"/>
    </row>
    <row r="322" spans="4:4">
      <c r="D322" s="714"/>
    </row>
    <row r="323" spans="4:4">
      <c r="D323" s="714"/>
    </row>
    <row r="324" spans="4:4">
      <c r="D324" s="714"/>
    </row>
    <row r="325" spans="4:4">
      <c r="D325" s="714"/>
    </row>
    <row r="326" spans="4:4">
      <c r="D326" s="714"/>
    </row>
    <row r="327" spans="4:4">
      <c r="D327" s="714"/>
    </row>
    <row r="328" spans="4:4">
      <c r="D328" s="714"/>
    </row>
    <row r="329" spans="4:4">
      <c r="D329" s="714"/>
    </row>
    <row r="330" spans="4:4">
      <c r="D330" s="714"/>
    </row>
    <row r="331" spans="4:4">
      <c r="D331" s="714"/>
    </row>
    <row r="332" spans="4:4">
      <c r="D332" s="714"/>
    </row>
    <row r="333" spans="4:4">
      <c r="D333" s="714"/>
    </row>
    <row r="334" spans="4:4">
      <c r="D334" s="714"/>
    </row>
    <row r="335" spans="4:4">
      <c r="D335" s="714"/>
    </row>
    <row r="336" spans="4:4">
      <c r="D336" s="714"/>
    </row>
    <row r="337" spans="4:4">
      <c r="D337" s="714"/>
    </row>
    <row r="338" spans="4:4">
      <c r="D338" s="714"/>
    </row>
    <row r="339" spans="4:4">
      <c r="D339" s="714"/>
    </row>
    <row r="340" spans="4:4">
      <c r="D340" s="714"/>
    </row>
    <row r="341" spans="4:4">
      <c r="D341" s="714"/>
    </row>
    <row r="342" spans="4:4">
      <c r="D342" s="714"/>
    </row>
    <row r="343" spans="4:4">
      <c r="D343" s="714"/>
    </row>
    <row r="344" spans="4:4">
      <c r="D344" s="714"/>
    </row>
    <row r="345" spans="4:4">
      <c r="D345" s="714"/>
    </row>
    <row r="346" spans="4:4">
      <c r="D346" s="714"/>
    </row>
    <row r="347" spans="4:4">
      <c r="D347" s="714"/>
    </row>
    <row r="348" spans="4:4">
      <c r="D348" s="714"/>
    </row>
    <row r="349" spans="4:4">
      <c r="D349" s="714"/>
    </row>
    <row r="350" spans="4:4">
      <c r="D350" s="714"/>
    </row>
    <row r="351" spans="4:4">
      <c r="D351" s="714"/>
    </row>
    <row r="352" spans="4:4">
      <c r="D352" s="714"/>
    </row>
    <row r="353" spans="4:4">
      <c r="D353" s="714"/>
    </row>
    <row r="354" spans="4:4">
      <c r="D354" s="714"/>
    </row>
    <row r="355" spans="4:4">
      <c r="D355" s="714"/>
    </row>
    <row r="356" spans="4:4">
      <c r="D356" s="714"/>
    </row>
    <row r="357" spans="4:4">
      <c r="D357" s="714"/>
    </row>
    <row r="358" spans="4:4">
      <c r="D358" s="714"/>
    </row>
    <row r="359" spans="4:4">
      <c r="D359" s="714"/>
    </row>
  </sheetData>
  <sheetProtection algorithmName="SHA-512" hashValue="BMb1Ldf1IG7/Fm3FXOjSear506OUX1lWjppHU9XriedKeXvJGGIMr5tah6o1uhDX7xkmsMNrUgKRaOAj2PHsHw==" saltValue="lf+X07yJiDPLPHf0hwZhMQ==" spinCount="100000" sheet="1" objects="1" scenarios="1"/>
  <mergeCells count="2">
    <mergeCell ref="A7:F7"/>
    <mergeCell ref="A8:F8"/>
  </mergeCells>
  <pageMargins left="0.7" right="0.7" top="0.82291666666666663" bottom="0.75" header="0.3" footer="0.3"/>
  <pageSetup orientation="portrait" r:id="rId1"/>
  <headerFooter>
    <oddHeader xml:space="preserve">&amp;L&amp;G&amp;R&amp;"-,Negrita"&amp;8
Herramienta para el cálculo de la huella de carbono en hospitales&amp;"-,Normal"
</oddHeader>
  </headerFooter>
  <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A08DDDAD-3888-454F-BEB0-DC5A0835EEE5}">
          <x14:formula1>
            <xm:f>'S1&amp;2 Lists'!$CK$3:$CK$17</xm:f>
          </x14:formula1>
          <xm:sqref>D11:D359</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C707ED-04D7-4220-9C27-7CA20A72E438}">
  <sheetPr codeName="Sheet14">
    <tabColor rgb="FFFFFFCC"/>
  </sheetPr>
  <dimension ref="B1:AB46"/>
  <sheetViews>
    <sheetView showGridLines="0" zoomScaleNormal="100" workbookViewId="0">
      <selection activeCell="B5" sqref="B5"/>
    </sheetView>
  </sheetViews>
  <sheetFormatPr defaultColWidth="8.875" defaultRowHeight="14.25"/>
  <cols>
    <col min="1" max="1" width="3" style="30" customWidth="1"/>
    <col min="2" max="2" width="27.625" style="30" customWidth="1"/>
    <col min="3" max="3" width="37" style="30" customWidth="1"/>
    <col min="4" max="4" width="12" style="30" customWidth="1"/>
    <col min="5" max="11" width="8.875" style="30"/>
    <col min="12" max="12" width="10" style="30" customWidth="1"/>
    <col min="13" max="13" width="2.75" style="30" customWidth="1"/>
    <col min="14" max="14" width="8.875" style="30"/>
    <col min="15" max="15" width="10.875" style="30" customWidth="1"/>
    <col min="16" max="16384" width="8.875" style="30"/>
  </cols>
  <sheetData>
    <row r="1" spans="2:21" ht="25.7" customHeight="1">
      <c r="B1" s="1532" t="s">
        <v>4093</v>
      </c>
      <c r="C1" s="1533"/>
      <c r="D1" s="1533"/>
      <c r="E1" s="1533"/>
      <c r="F1" s="1533"/>
      <c r="G1" s="1533"/>
      <c r="H1" s="1533"/>
      <c r="I1" s="1533"/>
      <c r="J1" s="1533"/>
      <c r="K1" s="1533"/>
      <c r="L1" s="1533"/>
      <c r="M1" s="1533"/>
      <c r="N1" s="1533"/>
      <c r="O1" s="1534"/>
      <c r="P1"/>
    </row>
    <row r="2" spans="2:21" ht="9" customHeight="1">
      <c r="B2" s="867"/>
      <c r="C2" s="868"/>
      <c r="D2" s="868"/>
      <c r="E2" s="868"/>
      <c r="F2" s="868"/>
      <c r="G2" s="868"/>
      <c r="H2" s="868"/>
      <c r="I2" s="868"/>
      <c r="J2" s="868"/>
      <c r="K2" s="868"/>
      <c r="L2" s="868"/>
      <c r="M2" s="868"/>
      <c r="N2" s="868"/>
      <c r="O2" s="869"/>
      <c r="P2"/>
    </row>
    <row r="3" spans="2:21" ht="15.95" customHeight="1">
      <c r="B3" s="866" t="s">
        <v>4096</v>
      </c>
      <c r="C3" s="845"/>
      <c r="D3" s="845"/>
      <c r="E3" s="845"/>
      <c r="F3" s="845"/>
      <c r="G3" s="845"/>
      <c r="H3" s="845"/>
      <c r="I3" s="845"/>
      <c r="J3" s="845"/>
      <c r="K3" s="845"/>
      <c r="L3" s="845"/>
      <c r="M3" s="845"/>
      <c r="N3" s="845"/>
      <c r="O3" s="849"/>
    </row>
    <row r="4" spans="2:21" ht="15.95" customHeight="1">
      <c r="B4" s="866" t="s">
        <v>4217</v>
      </c>
      <c r="C4" s="845"/>
      <c r="D4" s="845"/>
      <c r="E4" s="845"/>
      <c r="F4" s="845"/>
      <c r="G4" s="845"/>
      <c r="H4" s="845"/>
      <c r="I4" s="845"/>
      <c r="J4" s="845"/>
      <c r="K4" s="845"/>
      <c r="L4" s="845"/>
      <c r="M4" s="845"/>
      <c r="N4" s="845"/>
      <c r="O4" s="849"/>
    </row>
    <row r="5" spans="2:21" ht="15.95" customHeight="1">
      <c r="B5" s="866" t="s">
        <v>4218</v>
      </c>
      <c r="C5" s="845"/>
      <c r="D5" s="845"/>
      <c r="E5" s="845"/>
      <c r="F5" s="845"/>
      <c r="G5" s="845"/>
      <c r="H5" s="845"/>
      <c r="I5" s="845"/>
      <c r="J5" s="845"/>
      <c r="K5" s="845"/>
      <c r="L5" s="845"/>
      <c r="M5" s="845"/>
      <c r="N5" s="845"/>
      <c r="O5" s="849"/>
    </row>
    <row r="6" spans="2:21" ht="15.95" customHeight="1" thickBot="1">
      <c r="B6" s="866" t="s">
        <v>4224</v>
      </c>
      <c r="E6" s="850"/>
      <c r="F6" s="850"/>
      <c r="G6" s="850"/>
      <c r="H6" s="850"/>
      <c r="I6" s="850"/>
      <c r="J6" s="850"/>
      <c r="K6" s="850"/>
      <c r="L6" s="103"/>
      <c r="M6" s="103"/>
      <c r="O6" s="858"/>
      <c r="P6" s="841"/>
      <c r="Q6" s="841"/>
      <c r="R6" s="841"/>
      <c r="S6" s="841"/>
      <c r="T6" s="841"/>
    </row>
    <row r="7" spans="2:21" ht="27" thickBot="1">
      <c r="B7" s="852"/>
      <c r="E7" s="911" t="s">
        <v>4221</v>
      </c>
      <c r="F7" s="910">
        <v>2025</v>
      </c>
      <c r="G7" s="909" t="s">
        <v>4219</v>
      </c>
      <c r="L7"/>
      <c r="M7"/>
      <c r="N7" s="841"/>
      <c r="O7" s="853"/>
      <c r="P7" s="841"/>
      <c r="Q7" s="841"/>
      <c r="R7" s="841"/>
      <c r="S7" s="841"/>
      <c r="T7" s="841"/>
      <c r="U7" s="41"/>
    </row>
    <row r="8" spans="2:21" ht="15.75" customHeight="1" thickBot="1">
      <c r="B8" s="852"/>
      <c r="E8" s="912"/>
      <c r="G8" s="908"/>
      <c r="K8" s="857"/>
      <c r="L8"/>
      <c r="M8"/>
      <c r="N8" s="841"/>
      <c r="O8" s="853"/>
      <c r="P8" s="841"/>
      <c r="Q8" s="841"/>
      <c r="R8" s="841"/>
      <c r="S8" s="841"/>
      <c r="T8" s="841"/>
      <c r="U8" s="41"/>
    </row>
    <row r="9" spans="2:21" ht="26.25" thickBot="1">
      <c r="B9" s="852"/>
      <c r="E9" s="911" t="s">
        <v>4222</v>
      </c>
      <c r="F9" s="856">
        <v>0.97</v>
      </c>
      <c r="G9" s="909" t="s">
        <v>4220</v>
      </c>
      <c r="L9" s="103"/>
      <c r="M9" s="103"/>
      <c r="N9" s="103"/>
      <c r="O9" s="851"/>
      <c r="P9" s="103"/>
      <c r="U9" s="41"/>
    </row>
    <row r="10" spans="2:21">
      <c r="B10" s="852"/>
      <c r="F10" s="103"/>
      <c r="G10" s="103"/>
      <c r="H10" s="103"/>
      <c r="I10" s="103"/>
      <c r="J10" s="103"/>
      <c r="K10" s="103"/>
      <c r="L10" s="103"/>
      <c r="M10" s="103"/>
      <c r="N10" s="103"/>
      <c r="O10" s="851"/>
      <c r="P10" s="103"/>
      <c r="Q10" s="103"/>
      <c r="R10" s="103"/>
      <c r="S10" s="103"/>
      <c r="T10" s="103"/>
      <c r="U10" s="41"/>
    </row>
    <row r="11" spans="2:21" ht="30.75" customHeight="1">
      <c r="B11" s="914" t="s">
        <v>4223</v>
      </c>
      <c r="C11" s="913"/>
      <c r="D11"/>
      <c r="E11"/>
      <c r="F11"/>
      <c r="G11"/>
      <c r="H11"/>
      <c r="I11"/>
      <c r="L11"/>
      <c r="M11" s="841"/>
      <c r="O11" s="853"/>
      <c r="U11" s="41"/>
    </row>
    <row r="12" spans="2:21" s="917" customFormat="1" ht="29.25" customHeight="1" thickBot="1">
      <c r="B12" s="922" t="s">
        <v>1204</v>
      </c>
      <c r="C12" s="915"/>
      <c r="D12" s="916"/>
      <c r="E12" s="916"/>
      <c r="F12" s="916"/>
      <c r="G12" s="916"/>
      <c r="H12" s="916"/>
      <c r="I12" s="916"/>
      <c r="K12" s="918"/>
      <c r="L12" s="916"/>
      <c r="M12" s="919"/>
      <c r="O12" s="920"/>
      <c r="U12" s="921"/>
    </row>
    <row r="13" spans="2:21" ht="21" customHeight="1" thickBot="1">
      <c r="B13" s="846" t="s">
        <v>4227</v>
      </c>
      <c r="C13" s="847" t="s">
        <v>1205</v>
      </c>
      <c r="D13" s="862" t="s">
        <v>4095</v>
      </c>
      <c r="E13" s="863"/>
      <c r="F13" s="863"/>
      <c r="G13" s="863"/>
      <c r="H13" s="863"/>
      <c r="I13" s="863"/>
      <c r="K13"/>
      <c r="L13"/>
      <c r="M13" s="841"/>
      <c r="O13" s="853"/>
    </row>
    <row r="14" spans="2:21" ht="105" customHeight="1" thickBot="1">
      <c r="B14" s="846" t="s">
        <v>1206</v>
      </c>
      <c r="C14" s="848" t="s">
        <v>4092</v>
      </c>
      <c r="D14" s="865" t="s">
        <v>4098</v>
      </c>
      <c r="E14" s="863"/>
      <c r="F14" s="863"/>
      <c r="G14" s="863"/>
      <c r="H14" s="863"/>
      <c r="I14" s="864"/>
      <c r="J14" s="842"/>
      <c r="O14" s="853"/>
    </row>
    <row r="15" spans="2:21" ht="151.5" customHeight="1" thickBot="1">
      <c r="B15" s="846" t="s">
        <v>1207</v>
      </c>
      <c r="C15" s="848" t="s">
        <v>4228</v>
      </c>
      <c r="D15" s="1535" t="s">
        <v>4094</v>
      </c>
      <c r="E15" s="1536"/>
      <c r="F15" s="1536"/>
      <c r="G15" s="1536"/>
      <c r="H15" s="1536"/>
      <c r="I15" s="1536"/>
      <c r="J15" s="843"/>
      <c r="K15"/>
      <c r="L15"/>
      <c r="M15" s="844"/>
      <c r="O15" s="853"/>
    </row>
    <row r="16" spans="2:21" ht="10.5" customHeight="1">
      <c r="B16" s="859"/>
      <c r="C16" s="844"/>
      <c r="D16" s="844"/>
      <c r="E16" s="844"/>
      <c r="F16" s="844"/>
      <c r="G16" s="844"/>
      <c r="H16" s="844"/>
      <c r="I16" s="844"/>
      <c r="J16" s="844"/>
      <c r="K16" s="844"/>
      <c r="L16" s="844"/>
      <c r="M16" s="844"/>
      <c r="O16" s="853"/>
    </row>
    <row r="17" spans="2:28">
      <c r="B17" s="866" t="s">
        <v>4225</v>
      </c>
      <c r="L17" s="841"/>
      <c r="M17" s="841"/>
      <c r="O17" s="853"/>
    </row>
    <row r="18" spans="2:28">
      <c r="B18" s="866" t="s">
        <v>4226</v>
      </c>
      <c r="L18" s="841"/>
      <c r="M18" s="841"/>
      <c r="O18" s="853"/>
    </row>
    <row r="19" spans="2:28" ht="29.25" customHeight="1" thickBot="1">
      <c r="B19" s="860" t="s">
        <v>1202</v>
      </c>
      <c r="C19" s="854"/>
      <c r="D19" s="854"/>
      <c r="E19" s="854"/>
      <c r="F19" s="854"/>
      <c r="G19" s="854"/>
      <c r="H19" s="854"/>
      <c r="I19" s="854"/>
      <c r="J19" s="854"/>
      <c r="K19" s="854"/>
      <c r="L19" s="861"/>
      <c r="M19" s="861"/>
      <c r="N19" s="854"/>
      <c r="O19" s="855"/>
    </row>
    <row r="20" spans="2:28">
      <c r="B20" s="103"/>
      <c r="L20" s="103"/>
      <c r="M20" s="103"/>
      <c r="U20" s="41"/>
      <c r="V20" s="41"/>
      <c r="W20" s="41"/>
      <c r="X20" s="41"/>
      <c r="Y20" s="41"/>
      <c r="Z20" s="41"/>
      <c r="AA20" s="41"/>
      <c r="AB20" s="41"/>
    </row>
    <row r="21" spans="2:28" ht="15" customHeight="1">
      <c r="B21" s="103"/>
      <c r="L21" s="103"/>
      <c r="M21" s="103"/>
    </row>
    <row r="22" spans="2:28">
      <c r="B22" s="103"/>
      <c r="L22" s="103"/>
      <c r="M22" s="103"/>
    </row>
    <row r="23" spans="2:28">
      <c r="B23" s="103"/>
      <c r="L23" s="103"/>
      <c r="M23" s="103"/>
    </row>
    <row r="24" spans="2:28">
      <c r="B24" s="103"/>
      <c r="L24" s="103"/>
      <c r="M24" s="103"/>
    </row>
    <row r="31" spans="2:28" ht="5.25" customHeight="1"/>
    <row r="32" spans="2:28" ht="19.5" customHeight="1">
      <c r="B32" s="103"/>
    </row>
    <row r="33" spans="2:2">
      <c r="B33" s="103"/>
    </row>
    <row r="34" spans="2:2">
      <c r="B34" s="103"/>
    </row>
    <row r="35" spans="2:2">
      <c r="B35" s="103"/>
    </row>
    <row r="36" spans="2:2">
      <c r="B36" s="103"/>
    </row>
    <row r="37" spans="2:2">
      <c r="B37" s="103"/>
    </row>
    <row r="38" spans="2:2">
      <c r="B38" s="103"/>
    </row>
    <row r="39" spans="2:2">
      <c r="B39" s="103"/>
    </row>
    <row r="40" spans="2:2">
      <c r="B40" s="103"/>
    </row>
    <row r="41" spans="2:2">
      <c r="B41" s="103"/>
    </row>
    <row r="42" spans="2:2">
      <c r="B42" s="103"/>
    </row>
    <row r="43" spans="2:2">
      <c r="B43" s="103"/>
    </row>
    <row r="44" spans="2:2">
      <c r="B44" s="103"/>
    </row>
    <row r="45" spans="2:2">
      <c r="B45" s="103"/>
    </row>
    <row r="46" spans="2:2">
      <c r="B46" s="103"/>
    </row>
  </sheetData>
  <sheetProtection algorithmName="SHA-512" hashValue="7MP6FF4qvH6fTAFGPnLojeWMlGgG9WGmSkrhJYxJ7X1nAUjzuMIPxsRpUyfewP6MKd7DpvmMjgfQGZSM5y1aNw==" saltValue="zt//KUY1XFqY/iuOn8sq9g==" spinCount="100000" sheet="1" objects="1" scenarios="1"/>
  <mergeCells count="2">
    <mergeCell ref="B1:O1"/>
    <mergeCell ref="D15:I15"/>
  </mergeCells>
  <hyperlinks>
    <hyperlink ref="B12" r:id="rId1" xr:uid="{4EF3926B-A798-4EAC-90D1-CC5DF8778FE6}"/>
    <hyperlink ref="B19" location="References!A1" display="See the References tab for links to these resources." xr:uid="{9434A2A3-6919-432B-BB22-186D9E601963}"/>
  </hyperlinks>
  <pageMargins left="0.7" right="0.7" top="0.75" bottom="0.75" header="0.3" footer="0.3"/>
  <pageSetup orientation="portrait" horizontalDpi="1200" verticalDpi="1200"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9ABF64-48C6-4582-A004-80274A155EA3}">
  <sheetPr codeName="Sheet12">
    <tabColor theme="3" tint="0.59999389629810485"/>
  </sheetPr>
  <dimension ref="B1:N57"/>
  <sheetViews>
    <sheetView showGridLines="0" workbookViewId="0">
      <pane ySplit="1" topLeftCell="A2" activePane="bottomLeft" state="frozen"/>
      <selection pane="bottomLeft" sqref="A1:XFD1048576"/>
    </sheetView>
  </sheetViews>
  <sheetFormatPr defaultRowHeight="14.25"/>
  <cols>
    <col min="1" max="1" width="11.5" style="30" customWidth="1"/>
    <col min="2" max="2" width="197.625" style="30" customWidth="1"/>
    <col min="3" max="3" width="15.625" style="30" customWidth="1"/>
    <col min="4" max="8" width="34" style="30" customWidth="1"/>
    <col min="9" max="16384" width="9" style="30"/>
  </cols>
  <sheetData>
    <row r="1" spans="2:2" ht="20.25">
      <c r="B1" s="23" t="s">
        <v>1123</v>
      </c>
    </row>
    <row r="3" spans="2:2">
      <c r="B3" s="1380" t="s">
        <v>1124</v>
      </c>
    </row>
    <row r="4" spans="2:2">
      <c r="B4" s="1039"/>
    </row>
    <row r="5" spans="2:2" ht="15">
      <c r="B5" s="1381" t="s">
        <v>1125</v>
      </c>
    </row>
    <row r="6" spans="2:2">
      <c r="B6" s="1380" t="s">
        <v>1126</v>
      </c>
    </row>
    <row r="7" spans="2:2">
      <c r="B7" s="1380" t="s">
        <v>1127</v>
      </c>
    </row>
    <row r="8" spans="2:2">
      <c r="B8" s="1380" t="s">
        <v>1128</v>
      </c>
    </row>
    <row r="10" spans="2:2" ht="15">
      <c r="B10" s="1380" t="s">
        <v>1129</v>
      </c>
    </row>
    <row r="11" spans="2:2">
      <c r="B11" s="1382" t="s">
        <v>1130</v>
      </c>
    </row>
    <row r="12" spans="2:2">
      <c r="B12" s="1382" t="s">
        <v>1131</v>
      </c>
    </row>
    <row r="14" spans="2:2" ht="15">
      <c r="B14" s="30" t="s">
        <v>1132</v>
      </c>
    </row>
    <row r="15" spans="2:2">
      <c r="B15" s="1215" t="s">
        <v>1133</v>
      </c>
    </row>
    <row r="16" spans="2:2">
      <c r="B16" s="1215" t="s">
        <v>1134</v>
      </c>
    </row>
    <row r="17" spans="2:14">
      <c r="B17" s="1215" t="s">
        <v>1135</v>
      </c>
    </row>
    <row r="18" spans="2:14">
      <c r="B18" s="1215" t="s">
        <v>1136</v>
      </c>
    </row>
    <row r="19" spans="2:14">
      <c r="B19" s="1215" t="s">
        <v>1137</v>
      </c>
    </row>
    <row r="21" spans="2:14" ht="15">
      <c r="B21" s="30" t="s">
        <v>1138</v>
      </c>
    </row>
    <row r="22" spans="2:14">
      <c r="B22" s="1215" t="s">
        <v>1139</v>
      </c>
    </row>
    <row r="24" spans="2:14" ht="15">
      <c r="B24" s="30" t="s">
        <v>1140</v>
      </c>
    </row>
    <row r="25" spans="2:14">
      <c r="B25" s="1215" t="s">
        <v>3309</v>
      </c>
    </row>
    <row r="26" spans="2:14">
      <c r="B26" s="1215" t="s">
        <v>1141</v>
      </c>
    </row>
    <row r="27" spans="2:14" ht="32.25" customHeight="1">
      <c r="B27" s="1383" t="s">
        <v>4200</v>
      </c>
      <c r="C27" s="1383"/>
      <c r="D27" s="1383"/>
      <c r="E27" s="1383"/>
      <c r="F27" s="1383"/>
      <c r="G27" s="1383"/>
      <c r="H27" s="1383"/>
      <c r="I27" s="1383"/>
      <c r="J27" s="1383"/>
      <c r="K27" s="1383"/>
      <c r="L27" s="1383"/>
      <c r="M27" s="1383"/>
      <c r="N27" s="1383"/>
    </row>
    <row r="28" spans="2:14">
      <c r="B28" s="1384" t="s">
        <v>4201</v>
      </c>
    </row>
    <row r="29" spans="2:14">
      <c r="B29" s="1215" t="s">
        <v>1142</v>
      </c>
    </row>
    <row r="30" spans="2:14">
      <c r="B30" s="1215" t="s">
        <v>1143</v>
      </c>
    </row>
    <row r="31" spans="2:14">
      <c r="B31" s="1215" t="s">
        <v>1144</v>
      </c>
    </row>
    <row r="33" spans="2:2" ht="15">
      <c r="B33" s="30" t="s">
        <v>3308</v>
      </c>
    </row>
    <row r="34" spans="2:2">
      <c r="B34" s="1215" t="s">
        <v>4202</v>
      </c>
    </row>
    <row r="35" spans="2:2">
      <c r="B35" s="1215" t="s">
        <v>4075</v>
      </c>
    </row>
    <row r="36" spans="2:2">
      <c r="B36" s="1385" t="s">
        <v>4076</v>
      </c>
    </row>
    <row r="37" spans="2:2">
      <c r="B37" s="1385" t="s">
        <v>4189</v>
      </c>
    </row>
    <row r="38" spans="2:2">
      <c r="B38" s="1385" t="s">
        <v>4190</v>
      </c>
    </row>
    <row r="39" spans="2:2">
      <c r="B39" s="1385" t="s">
        <v>4215</v>
      </c>
    </row>
    <row r="40" spans="2:2">
      <c r="B40" s="1385" t="s">
        <v>4191</v>
      </c>
    </row>
    <row r="41" spans="2:2">
      <c r="B41" s="1385" t="s">
        <v>4086</v>
      </c>
    </row>
    <row r="42" spans="2:2" ht="31.5" customHeight="1">
      <c r="B42" s="1386" t="s">
        <v>4199</v>
      </c>
    </row>
    <row r="43" spans="2:2">
      <c r="B43" s="1385" t="s">
        <v>4078</v>
      </c>
    </row>
    <row r="44" spans="2:2">
      <c r="B44" s="1387" t="s">
        <v>4079</v>
      </c>
    </row>
    <row r="45" spans="2:2">
      <c r="B45" s="1385" t="s">
        <v>4080</v>
      </c>
    </row>
    <row r="46" spans="2:2">
      <c r="B46" s="1388" t="s">
        <v>4081</v>
      </c>
    </row>
    <row r="47" spans="2:2" ht="28.5">
      <c r="B47" s="1389" t="s">
        <v>4077</v>
      </c>
    </row>
    <row r="48" spans="2:2">
      <c r="B48" s="1385" t="s">
        <v>4082</v>
      </c>
    </row>
    <row r="49" spans="2:2">
      <c r="B49" s="1385" t="s">
        <v>4083</v>
      </c>
    </row>
    <row r="50" spans="2:2">
      <c r="B50" s="1386" t="s">
        <v>4084</v>
      </c>
    </row>
    <row r="51" spans="2:2">
      <c r="B51" s="1385" t="s">
        <v>4085</v>
      </c>
    </row>
    <row r="52" spans="2:2">
      <c r="B52" s="1385" t="s">
        <v>4192</v>
      </c>
    </row>
    <row r="53" spans="2:2">
      <c r="B53" s="1215"/>
    </row>
    <row r="54" spans="2:2" ht="15">
      <c r="B54" s="30" t="s">
        <v>4341</v>
      </c>
    </row>
    <row r="55" spans="2:2">
      <c r="B55" s="1215" t="s">
        <v>4216</v>
      </c>
    </row>
    <row r="56" spans="2:2">
      <c r="B56" s="1215" t="s">
        <v>4229</v>
      </c>
    </row>
    <row r="57" spans="2:2">
      <c r="B57" s="1215" t="s">
        <v>4340</v>
      </c>
    </row>
  </sheetData>
  <sheetProtection algorithmName="SHA-512" hashValue="AfoQSOD2ekOsM4iHiEodrRQI6V77/64zx297chkA/4+9xU2fG12c9nWhpQZ0JgE3whWrCWhgxBFbnXEGF8KAww==" saltValue="LkMkyUVfTqOOraqwdnXqZA==" spinCount="100000" sheet="1" objects="1" scenarios="1" selectLockedCells="1" selectUnlockedCells="1"/>
  <hyperlinks>
    <hyperlink ref="B1" r:id="rId1" xr:uid="{D9153599-98EC-46BB-9944-0CF7EC9EED84}"/>
  </hyperlinks>
  <pageMargins left="0.7" right="0.7" top="0.75" bottom="0.75" header="0.3" footer="0.3"/>
  <pageSetup orientation="portrait" horizontalDpi="1200" verticalDpi="1200"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E0162-7C43-431C-8D49-F2E50E035D60}">
  <sheetPr codeName="Sheet13">
    <tabColor theme="3" tint="0.59999389629810485"/>
  </sheetPr>
  <dimension ref="B3:H31"/>
  <sheetViews>
    <sheetView showGridLines="0" zoomScale="90" zoomScaleNormal="90" workbookViewId="0">
      <selection activeCell="B1" sqref="B1"/>
    </sheetView>
  </sheetViews>
  <sheetFormatPr defaultColWidth="9.125" defaultRowHeight="14.25"/>
  <cols>
    <col min="1" max="1" width="2.625" style="4" customWidth="1"/>
    <col min="2" max="2" width="7.125" style="4" customWidth="1"/>
    <col min="3" max="3" width="50.5" style="4" bestFit="1" customWidth="1"/>
    <col min="4" max="4" width="30.125" style="80" customWidth="1"/>
    <col min="5" max="5" width="84.625" style="4" customWidth="1"/>
    <col min="6" max="6" width="37" style="4" customWidth="1"/>
    <col min="7" max="7" width="62.375" style="4" customWidth="1"/>
    <col min="8" max="19" width="9.125" style="4"/>
    <col min="20" max="20" width="9.125" style="4" customWidth="1"/>
    <col min="21" max="16384" width="9.125" style="4"/>
  </cols>
  <sheetData>
    <row r="3" spans="2:8">
      <c r="D3" s="9"/>
      <c r="E3"/>
    </row>
    <row r="4" spans="2:8">
      <c r="D4" s="9"/>
      <c r="E4"/>
    </row>
    <row r="5" spans="2:8">
      <c r="D5" s="9"/>
      <c r="E5"/>
    </row>
    <row r="6" spans="2:8">
      <c r="D6" s="9"/>
      <c r="E6"/>
    </row>
    <row r="7" spans="2:8">
      <c r="D7" s="9"/>
      <c r="E7"/>
    </row>
    <row r="8" spans="2:8">
      <c r="D8" s="9"/>
      <c r="E8"/>
    </row>
    <row r="10" spans="2:8" s="6" customFormat="1" ht="27.75">
      <c r="B10" s="76" t="s">
        <v>1145</v>
      </c>
      <c r="C10" s="77"/>
      <c r="D10" s="77"/>
      <c r="E10" s="78" t="s">
        <v>4342</v>
      </c>
      <c r="F10" s="77"/>
      <c r="G10" s="77"/>
      <c r="H10" s="79"/>
    </row>
    <row r="11" spans="2:8" ht="12" customHeight="1">
      <c r="C11" s="79"/>
    </row>
    <row r="12" spans="2:8" ht="26.25" thickBot="1">
      <c r="B12" s="22" t="s">
        <v>1146</v>
      </c>
      <c r="C12" s="79"/>
      <c r="D12" s="81"/>
    </row>
    <row r="13" spans="2:8" s="82" customFormat="1" ht="141.75" customHeight="1" thickBot="1">
      <c r="B13" s="1537" t="s">
        <v>1147</v>
      </c>
      <c r="C13" s="1538"/>
      <c r="D13" s="1538"/>
      <c r="E13" s="1539"/>
      <c r="F13"/>
      <c r="G13"/>
    </row>
    <row r="14" spans="2:8" customFormat="1" ht="9" customHeight="1"/>
    <row r="15" spans="2:8" ht="46.5" customHeight="1">
      <c r="C15" s="83" t="s">
        <v>1148</v>
      </c>
      <c r="D15" s="84" t="s">
        <v>1149</v>
      </c>
      <c r="E15" s="84" t="s">
        <v>4110</v>
      </c>
      <c r="F15" s="84" t="s">
        <v>1150</v>
      </c>
      <c r="G15" s="85" t="s">
        <v>1151</v>
      </c>
    </row>
    <row r="16" spans="2:8" s="89" customFormat="1" ht="38.25">
      <c r="B16" s="1540" t="s">
        <v>1152</v>
      </c>
      <c r="C16" s="886" t="s">
        <v>1153</v>
      </c>
      <c r="D16" s="86" t="s">
        <v>1154</v>
      </c>
      <c r="E16" s="87" t="s">
        <v>1155</v>
      </c>
      <c r="F16" s="87" t="s">
        <v>1156</v>
      </c>
      <c r="G16" s="88" t="s">
        <v>1157</v>
      </c>
    </row>
    <row r="17" spans="2:7" s="89" customFormat="1" ht="38.25">
      <c r="B17" s="1541"/>
      <c r="C17" s="887" t="s">
        <v>1158</v>
      </c>
      <c r="D17" s="90" t="s">
        <v>1159</v>
      </c>
      <c r="E17" s="91" t="s">
        <v>1160</v>
      </c>
      <c r="F17" s="91" t="s">
        <v>1156</v>
      </c>
      <c r="G17" s="92" t="s">
        <v>1157</v>
      </c>
    </row>
    <row r="18" spans="2:7" s="89" customFormat="1" ht="25.5">
      <c r="B18" s="1541"/>
      <c r="C18" s="888" t="s">
        <v>1161</v>
      </c>
      <c r="D18" s="90" t="s">
        <v>1162</v>
      </c>
      <c r="E18" s="93" t="s">
        <v>1163</v>
      </c>
      <c r="F18" s="93" t="s">
        <v>1164</v>
      </c>
      <c r="G18" s="94"/>
    </row>
    <row r="19" spans="2:7" s="89" customFormat="1" ht="63.75">
      <c r="B19" s="1541"/>
      <c r="C19" s="888" t="s">
        <v>1165</v>
      </c>
      <c r="D19" s="90" t="s">
        <v>1166</v>
      </c>
      <c r="E19" s="93" t="s">
        <v>1167</v>
      </c>
      <c r="F19" s="93" t="s">
        <v>1156</v>
      </c>
      <c r="G19" s="94"/>
    </row>
    <row r="20" spans="2:7" s="89" customFormat="1" ht="25.5">
      <c r="B20" s="1541"/>
      <c r="C20" s="888" t="s">
        <v>1168</v>
      </c>
      <c r="D20" s="90" t="s">
        <v>1169</v>
      </c>
      <c r="E20" s="93" t="s">
        <v>1170</v>
      </c>
      <c r="F20" s="93" t="s">
        <v>1164</v>
      </c>
      <c r="G20" s="94"/>
    </row>
    <row r="21" spans="2:7" s="89" customFormat="1" ht="25.5">
      <c r="B21" s="1541"/>
      <c r="C21" s="888" t="s">
        <v>1171</v>
      </c>
      <c r="D21" s="90" t="s">
        <v>1172</v>
      </c>
      <c r="E21" s="93" t="s">
        <v>1173</v>
      </c>
      <c r="F21" s="93" t="s">
        <v>1156</v>
      </c>
      <c r="G21" s="94"/>
    </row>
    <row r="22" spans="2:7" s="89" customFormat="1" ht="25.5">
      <c r="B22" s="1541"/>
      <c r="C22" s="888" t="s">
        <v>1174</v>
      </c>
      <c r="D22" s="90" t="s">
        <v>1175</v>
      </c>
      <c r="E22" s="93" t="s">
        <v>1176</v>
      </c>
      <c r="F22" s="93" t="s">
        <v>1164</v>
      </c>
      <c r="G22" s="94"/>
    </row>
    <row r="23" spans="2:7" s="89" customFormat="1" ht="29.25" customHeight="1">
      <c r="B23" s="1542"/>
      <c r="C23" s="889" t="s">
        <v>1177</v>
      </c>
      <c r="D23" s="90" t="s">
        <v>1178</v>
      </c>
      <c r="E23" s="93" t="s">
        <v>1179</v>
      </c>
      <c r="F23" s="93" t="s">
        <v>1164</v>
      </c>
      <c r="G23" s="94"/>
    </row>
    <row r="24" spans="2:7" s="89" customFormat="1" ht="38.25">
      <c r="B24" s="1540" t="s">
        <v>1180</v>
      </c>
      <c r="C24" s="890" t="s">
        <v>1181</v>
      </c>
      <c r="D24" s="90" t="s">
        <v>1182</v>
      </c>
      <c r="E24" s="93" t="s">
        <v>1183</v>
      </c>
      <c r="F24" s="93" t="s">
        <v>1164</v>
      </c>
      <c r="G24" s="94"/>
    </row>
    <row r="25" spans="2:7" s="89" customFormat="1" ht="38.25">
      <c r="B25" s="1541"/>
      <c r="C25" s="891" t="s">
        <v>1184</v>
      </c>
      <c r="D25" s="95" t="s">
        <v>4314</v>
      </c>
      <c r="E25" s="93" t="s">
        <v>1185</v>
      </c>
      <c r="F25" s="95" t="s">
        <v>4314</v>
      </c>
      <c r="G25" s="96" t="s">
        <v>1186</v>
      </c>
    </row>
    <row r="26" spans="2:7" s="89" customFormat="1" ht="38.25">
      <c r="B26" s="1541"/>
      <c r="C26" s="888" t="s">
        <v>1187</v>
      </c>
      <c r="D26" s="90" t="s">
        <v>1188</v>
      </c>
      <c r="E26" s="93" t="s">
        <v>1189</v>
      </c>
      <c r="F26" s="93" t="s">
        <v>1190</v>
      </c>
      <c r="G26" s="94" t="s">
        <v>1191</v>
      </c>
    </row>
    <row r="27" spans="2:7" s="89" customFormat="1" ht="38.25">
      <c r="B27" s="1541"/>
      <c r="C27" s="891" t="s">
        <v>1192</v>
      </c>
      <c r="D27" s="95" t="s">
        <v>4314</v>
      </c>
      <c r="E27" s="93" t="s">
        <v>1193</v>
      </c>
      <c r="F27" s="95" t="s">
        <v>4314</v>
      </c>
      <c r="G27" s="96" t="s">
        <v>1186</v>
      </c>
    </row>
    <row r="28" spans="2:7" s="89" customFormat="1" ht="23.25" customHeight="1">
      <c r="B28" s="1541"/>
      <c r="C28" s="888" t="s">
        <v>1194</v>
      </c>
      <c r="D28" s="90" t="s">
        <v>1178</v>
      </c>
      <c r="E28" s="97" t="s">
        <v>1195</v>
      </c>
      <c r="F28" s="93" t="s">
        <v>1164</v>
      </c>
      <c r="G28" s="94"/>
    </row>
    <row r="29" spans="2:7" s="89" customFormat="1" ht="38.25">
      <c r="B29" s="1541"/>
      <c r="C29" s="891" t="s">
        <v>1196</v>
      </c>
      <c r="D29" s="95" t="s">
        <v>4314</v>
      </c>
      <c r="E29" s="93" t="s">
        <v>1197</v>
      </c>
      <c r="F29" s="95" t="s">
        <v>4314</v>
      </c>
      <c r="G29" s="96" t="s">
        <v>1186</v>
      </c>
    </row>
    <row r="30" spans="2:7" s="89" customFormat="1" ht="25.5">
      <c r="B30" s="1542"/>
      <c r="C30" s="889" t="s">
        <v>1198</v>
      </c>
      <c r="D30" s="98" t="s">
        <v>1199</v>
      </c>
      <c r="E30" s="99" t="s">
        <v>1200</v>
      </c>
      <c r="F30" s="99" t="s">
        <v>1201</v>
      </c>
      <c r="G30" s="100"/>
    </row>
    <row r="31" spans="2:7" ht="18">
      <c r="C31" s="101"/>
      <c r="E31" s="101"/>
      <c r="F31" s="102"/>
    </row>
  </sheetData>
  <sheetProtection algorithmName="SHA-512" hashValue="wIpScYI9W7sCdgsIZfQppNXlaXrN8N0kVk6CU1GHiqNYTYwoMTH/pbX67NW5fDY8kwKXc1cbWJFCXwIK3YxLLg==" saltValue="GmhHMAPparVHRN9c7lfMUw==" spinCount="100000" sheet="1" objects="1" scenarios="1"/>
  <mergeCells count="3">
    <mergeCell ref="B13:E13"/>
    <mergeCell ref="B16:B23"/>
    <mergeCell ref="B24:B30"/>
  </mergeCells>
  <hyperlinks>
    <hyperlink ref="C16" location="'Cat 1 (Goods &amp; Services)'!A1" display="Category 1: Purchased Goods and Services" xr:uid="{E3435889-08D1-4F9D-A441-1DF29C4D8708}"/>
    <hyperlink ref="C17" location="'Cat 2 (Capital Goods)'!A1" display="Category 2: Capital Goods" xr:uid="{0EBB0AE0-E4DF-460C-8022-512CC6242CB6}"/>
    <hyperlink ref="C20" location="'Cat 5 Waste'!A1" display="Category 5: Waste Generated in Operations" xr:uid="{D9D7C3D4-D55F-4BAD-AAD8-4B5188DC042E}"/>
    <hyperlink ref="C21" location="'Cat 6 Business Trav. (spend)'!A1" display="Category 6: Business Travel" xr:uid="{A40FBD4F-C6EF-464A-957E-70AF222CE8DC}"/>
    <hyperlink ref="C22" location="'Cat 7 Employee Commuting'!A1" display="Category 7: Employee commuting" xr:uid="{E0A7B96D-B17E-448E-B3D4-6025B3A51FF0}"/>
    <hyperlink ref="C30" location="'Cat 15 Investments'!A1" display="Category 15: Investments" xr:uid="{29861C57-E945-4635-8A30-B37F709E4D62}"/>
    <hyperlink ref="C19" location="'Cat 4 Upstream Trans &amp; Dist'!A1" display="Category 4: Upstream transportation and distribution" xr:uid="{A9A47C57-4A56-40A6-987E-45D3449D3E9A}"/>
    <hyperlink ref="C26" location="'Cat 11 Use of Sold Products'!A1" display="Category 11: Use of Sold Products" xr:uid="{70036B6C-961D-4ACB-B40F-4DA8B100D8E0}"/>
    <hyperlink ref="C18" location="'Cat 3 Fuel &amp; Energy'!A1" display="Category 3: Fuel- and energy related activities" xr:uid="{8CB76BBC-7CB9-4697-8221-0347CEE581A5}"/>
    <hyperlink ref="C24" location="'Cat 9 (Patient Visits)'!A1" display="Category 9: Downstream Transportation and Distribution [Patient Visits &amp; Telehealth)" xr:uid="{2BAA36AE-6CD9-40CF-977B-B96BCFAECDBF}"/>
    <hyperlink ref="C23" location="'Cat 8 &amp; Cat 13 Leased Assets'!A1" display="Category 8: Upstream Leased Assets" xr:uid="{6702B809-18B2-4FA1-9114-CC38A6A68428}"/>
    <hyperlink ref="C28" location="'Cat 8 &amp; Cat 13 Leased Assets'!A1" display="Category 13: Downstream leased assets" xr:uid="{55FF07FF-C337-4A02-82AC-E3D0CF73F410}"/>
  </hyperlink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F5DC7-C7A5-4F1E-B49B-813D9838560E}">
  <sheetPr codeName="Sheet15">
    <tabColor rgb="FF00B0F0"/>
  </sheetPr>
  <dimension ref="B2:T37"/>
  <sheetViews>
    <sheetView showGridLines="0" topLeftCell="D17" zoomScaleNormal="100" workbookViewId="0">
      <selection activeCell="F19" sqref="F19"/>
    </sheetView>
  </sheetViews>
  <sheetFormatPr defaultColWidth="8.875" defaultRowHeight="14.25"/>
  <cols>
    <col min="1" max="1" width="2.125" style="30" customWidth="1"/>
    <col min="2" max="2" width="7.125" style="30" customWidth="1"/>
    <col min="3" max="3" width="10.375" style="30" customWidth="1"/>
    <col min="4" max="4" width="38.75" style="30" customWidth="1"/>
    <col min="5" max="5" width="11.875" style="30" customWidth="1"/>
    <col min="6" max="6" width="12" style="30" customWidth="1"/>
    <col min="7" max="19" width="8.875" style="30"/>
    <col min="20" max="20" width="6.5" style="30" customWidth="1"/>
    <col min="21" max="16384" width="8.875" style="30"/>
  </cols>
  <sheetData>
    <row r="2" spans="2:20" s="104" customFormat="1">
      <c r="E2" s="105"/>
    </row>
    <row r="3" spans="2:20" s="104" customFormat="1">
      <c r="E3" s="105"/>
    </row>
    <row r="4" spans="2:20" s="104" customFormat="1">
      <c r="E4" s="105"/>
    </row>
    <row r="5" spans="2:20" s="104" customFormat="1">
      <c r="E5" s="105"/>
    </row>
    <row r="6" spans="2:20" s="104" customFormat="1">
      <c r="E6" s="105"/>
    </row>
    <row r="7" spans="2:20" s="104" customFormat="1">
      <c r="E7" s="105"/>
    </row>
    <row r="8" spans="2:20" s="104" customFormat="1">
      <c r="E8" s="105"/>
    </row>
    <row r="9" spans="2:20" s="104" customFormat="1">
      <c r="E9" s="30"/>
      <c r="F9" s="30"/>
      <c r="G9" s="30"/>
      <c r="H9" s="30"/>
    </row>
    <row r="10" spans="2:20" ht="20.25">
      <c r="B10" s="74" t="str">
        <f>"Summary of "&amp;'Reporting Year &amp; Inflation Adj.'!F7&amp;" Scope 3 Emissions Results"</f>
        <v>Summary of 2025 Scope 3 Emissions Results</v>
      </c>
      <c r="C10" s="24"/>
      <c r="D10" s="24"/>
      <c r="E10" s="24"/>
      <c r="F10" s="24"/>
      <c r="G10" s="24"/>
      <c r="H10" s="24"/>
      <c r="I10" s="24"/>
      <c r="J10" s="24"/>
      <c r="K10" s="24"/>
      <c r="L10" s="24"/>
      <c r="M10" s="24"/>
      <c r="N10" s="24"/>
      <c r="O10" s="24"/>
      <c r="P10" s="24"/>
      <c r="Q10" s="24"/>
      <c r="R10" s="24"/>
      <c r="S10" s="24"/>
      <c r="T10" s="24"/>
    </row>
    <row r="12" spans="2:20" ht="30">
      <c r="D12" s="871" t="s">
        <v>1209</v>
      </c>
      <c r="E12" s="871" t="s">
        <v>1210</v>
      </c>
    </row>
    <row r="13" spans="2:20">
      <c r="D13" s="880" t="s">
        <v>6</v>
      </c>
      <c r="E13" s="881">
        <f>'Results &amp; Summary'!$D$7</f>
        <v>0</v>
      </c>
      <c r="F13" s="1543"/>
    </row>
    <row r="14" spans="2:20">
      <c r="D14" s="880" t="s">
        <v>7</v>
      </c>
      <c r="E14" s="881">
        <f>'Results &amp; Summary'!$D$20</f>
        <v>0</v>
      </c>
      <c r="F14" s="1543"/>
    </row>
    <row r="15" spans="2:20">
      <c r="D15" s="880" t="s">
        <v>1211</v>
      </c>
      <c r="E15" s="873">
        <f>$E$35</f>
        <v>4645.4736823110006</v>
      </c>
    </row>
    <row r="16" spans="2:20" ht="15">
      <c r="D16" s="882" t="s">
        <v>8</v>
      </c>
      <c r="E16" s="883">
        <f>SUM(E13:E15)</f>
        <v>4645.4736823110006</v>
      </c>
    </row>
    <row r="19" spans="2:6" ht="45">
      <c r="B19"/>
      <c r="C19" s="871" t="s">
        <v>1212</v>
      </c>
      <c r="D19" s="871" t="s">
        <v>1213</v>
      </c>
      <c r="E19" s="871" t="s">
        <v>1214</v>
      </c>
      <c r="F19" s="871" t="s">
        <v>3311</v>
      </c>
    </row>
    <row r="20" spans="2:6" ht="15.75" customHeight="1">
      <c r="B20" s="1544" t="s">
        <v>1152</v>
      </c>
      <c r="C20" s="872">
        <v>1</v>
      </c>
      <c r="D20" s="937" t="s">
        <v>1215</v>
      </c>
      <c r="E20" s="876">
        <f>SUM('Cat 1 (Goods &amp; Services)'!$G$17,'Category 1 and 2 (custom input)'!$G$45,'Category 1 and 2 (custom input)'!$G$63,'Category 1 and 2 (custom input)'!$E$91)</f>
        <v>0</v>
      </c>
      <c r="F20" s="938">
        <f>E20/$E$35</f>
        <v>0</v>
      </c>
    </row>
    <row r="21" spans="2:6" ht="15.75">
      <c r="B21" s="1544"/>
      <c r="C21" s="872">
        <v>2</v>
      </c>
      <c r="D21" s="937" t="s">
        <v>1216</v>
      </c>
      <c r="E21" s="876">
        <f>SUM('Cat 2 (Capital Goods)'!$G$17,'Category 1 and 2 (custom input)'!$N$45,'Category 1 and 2 (custom input)'!$N$63)</f>
        <v>0</v>
      </c>
      <c r="F21" s="938">
        <f t="shared" ref="F21:F32" si="0">E21/$E$35</f>
        <v>0</v>
      </c>
    </row>
    <row r="22" spans="2:6" ht="15.75">
      <c r="B22" s="1544"/>
      <c r="C22" s="872">
        <v>3</v>
      </c>
      <c r="D22" s="937" t="s">
        <v>1217</v>
      </c>
      <c r="E22" s="876">
        <f>SUM('Cat 3 Fuel &amp; Energy'!G29,'Cat 3 Fuel &amp; Energy'!G36,'Cat 3 Fuel &amp; Energy'!G43,'Cat 3 Fuel &amp; Energy'!F51,'Cat 3 Fuel &amp; Energy'!E59)</f>
        <v>4645.4736823110006</v>
      </c>
      <c r="F22" s="938">
        <f t="shared" si="0"/>
        <v>1</v>
      </c>
    </row>
    <row r="23" spans="2:6" ht="15.75">
      <c r="B23" s="1544"/>
      <c r="C23" s="872">
        <v>4</v>
      </c>
      <c r="D23" s="937" t="s">
        <v>1218</v>
      </c>
      <c r="E23" s="876">
        <f>SUM('Cat 4 Upstream Trans &amp; Dist'!$E$12,'Custom Emissions Inputs - other'!$H$27)</f>
        <v>0</v>
      </c>
      <c r="F23" s="938">
        <f t="shared" si="0"/>
        <v>0</v>
      </c>
    </row>
    <row r="24" spans="2:6" ht="15.75">
      <c r="B24" s="1544"/>
      <c r="C24" s="872">
        <v>5</v>
      </c>
      <c r="D24" s="937" t="s">
        <v>1219</v>
      </c>
      <c r="E24" s="939">
        <f>SUM('Cat 5 Waste'!$G$46,'Cat 5 Waste'!$G$48,'Cat 5 Waste'!$D$73,'Cat 5 Waste'!$D$75,'Cat 5 Waste'!$E$102,'Cat 5 Waste'!$E$104,'Cat 5 Waste'!$D$135,'Cat 5 Waste'!$D$137,'Cat 5 Waste'!$D$168,'Cat 5 Waste'!$D$170,'Cat 5 Waste'!$G$198,'Cat 5 Waste'!$G$200,'Custom Emissions Inputs - other'!$H$50)</f>
        <v>0</v>
      </c>
      <c r="F24" s="938">
        <f t="shared" si="0"/>
        <v>0</v>
      </c>
    </row>
    <row r="25" spans="2:6" ht="15.75">
      <c r="B25" s="1544"/>
      <c r="C25" s="872">
        <v>6</v>
      </c>
      <c r="D25" s="937" t="s">
        <v>1220</v>
      </c>
      <c r="E25" s="876">
        <f>SUM('Cat 6 Business Trav. (spend)'!$E$20,'Cat 6 Business Trav. (distance)'!$G$58,'Cat 6 Business Trav. (distance)'!$H$86,'Cat 6 Business Trav. (distance)'!$F$113,'Custom Emissions Inputs - other'!$H$76)</f>
        <v>0</v>
      </c>
      <c r="F25" s="938">
        <f t="shared" si="0"/>
        <v>0</v>
      </c>
    </row>
    <row r="26" spans="2:6" ht="15.75">
      <c r="B26" s="1544"/>
      <c r="C26" s="872">
        <v>7</v>
      </c>
      <c r="D26" s="937" t="s">
        <v>1221</v>
      </c>
      <c r="E26" s="876">
        <f>SUM('Cat 7 Employee Commuting'!$F$94:$F$95,'Cat 7 Employee Commuting'!$G$66:$G$67,'Cat 7 Employee Commuting'!$G$41:$G$42,'Custom Emissions Inputs - other'!$H$104)</f>
        <v>0</v>
      </c>
      <c r="F26" s="938">
        <f t="shared" si="0"/>
        <v>0</v>
      </c>
    </row>
    <row r="27" spans="2:6" ht="15.75">
      <c r="B27" s="1544"/>
      <c r="C27" s="872">
        <v>8</v>
      </c>
      <c r="D27" s="937" t="s">
        <v>1222</v>
      </c>
      <c r="E27" s="876">
        <f>SUM('Cat 8 &amp; Cat 13 Leased Assets'!$G$48:$H$48,'Cat 8 &amp; Cat 13 Leased Assets'!$H$76:$I$76,'Cat 8 &amp; Cat 13 Leased Assets'!$P$48:$Q$48,'Cat 8 &amp; Cat 13 Leased Assets'!$Q$76:$R$76)</f>
        <v>0</v>
      </c>
      <c r="F27" s="938">
        <f t="shared" si="0"/>
        <v>0</v>
      </c>
    </row>
    <row r="28" spans="2:6" ht="28.5" customHeight="1">
      <c r="B28" s="1545" t="s">
        <v>1180</v>
      </c>
      <c r="C28" s="874">
        <v>9</v>
      </c>
      <c r="D28" s="875" t="s">
        <v>1223</v>
      </c>
      <c r="E28" s="876">
        <f>SUM('Cat 9 (Patient Visits)'!$E$45:$E$46,'Cat 9 (Patient Visits)'!$E$73:$E$74,'Cat 9 (Patient Visits)'!$G$97:$G$98,'Custom Emissions Inputs - other'!$D$122,'Custom Emissions Inputs - other'!$E$140)</f>
        <v>0</v>
      </c>
      <c r="F28" s="938">
        <f t="shared" si="0"/>
        <v>0</v>
      </c>
    </row>
    <row r="29" spans="2:6" ht="15.75">
      <c r="B29" s="1545"/>
      <c r="C29" s="874">
        <v>10</v>
      </c>
      <c r="D29" s="937" t="s">
        <v>1224</v>
      </c>
      <c r="E29" s="1546" t="s">
        <v>4314</v>
      </c>
      <c r="F29" s="1546"/>
    </row>
    <row r="30" spans="2:6" ht="15.75">
      <c r="B30" s="1545"/>
      <c r="C30" s="874">
        <v>11</v>
      </c>
      <c r="D30" s="937" t="s">
        <v>1225</v>
      </c>
      <c r="E30" s="876">
        <f>SUM('Cat 11 Use of Sold Products'!$F$42,'Cat 11 Use of Sold Products'!$F$68)</f>
        <v>0</v>
      </c>
      <c r="F30" s="938">
        <f t="shared" si="0"/>
        <v>0</v>
      </c>
    </row>
    <row r="31" spans="2:6" ht="15.75">
      <c r="B31" s="1545"/>
      <c r="C31" s="874">
        <v>12</v>
      </c>
      <c r="D31" s="937" t="s">
        <v>1226</v>
      </c>
      <c r="E31" s="1546" t="s">
        <v>4314</v>
      </c>
      <c r="F31" s="1546"/>
    </row>
    <row r="32" spans="2:6" ht="15.75">
      <c r="B32" s="1545"/>
      <c r="C32" s="874">
        <v>13</v>
      </c>
      <c r="D32" s="937" t="s">
        <v>1227</v>
      </c>
      <c r="E32" s="876">
        <f>SUM('Cat 8 &amp; Cat 13 Leased Assets'!$G$103:$H$103,'Cat 8 &amp; Cat 13 Leased Assets'!$H$131:$I$131,'Cat 8 &amp; Cat 13 Leased Assets'!$P$103:$Q$103,'Cat 8 &amp; Cat 13 Leased Assets'!$Q$131:$R$131)</f>
        <v>0</v>
      </c>
      <c r="F32" s="938">
        <f t="shared" si="0"/>
        <v>0</v>
      </c>
    </row>
    <row r="33" spans="2:6" ht="15.75">
      <c r="B33" s="1545"/>
      <c r="C33" s="874">
        <v>14</v>
      </c>
      <c r="D33" s="937" t="s">
        <v>1228</v>
      </c>
      <c r="E33" s="1546" t="s">
        <v>4314</v>
      </c>
      <c r="F33" s="1546"/>
    </row>
    <row r="34" spans="2:6" ht="15.75">
      <c r="B34" s="1545"/>
      <c r="C34" s="874">
        <v>15</v>
      </c>
      <c r="D34" s="937" t="s">
        <v>1229</v>
      </c>
      <c r="E34" s="876">
        <f>SUM('Cat 15 Investments'!$J$70,'Custom Emissions Inputs - other'!$D$155)</f>
        <v>0</v>
      </c>
      <c r="F34" s="938">
        <f>E34/$E$35</f>
        <v>0</v>
      </c>
    </row>
    <row r="35" spans="2:6" ht="15">
      <c r="B35" s="885"/>
      <c r="C35" s="884"/>
      <c r="D35" s="877" t="s">
        <v>8</v>
      </c>
      <c r="E35" s="878">
        <f>SUM($E$20:$E$34)</f>
        <v>4645.4736823110006</v>
      </c>
      <c r="F35" s="879">
        <f>SUM(F20:F34)</f>
        <v>1</v>
      </c>
    </row>
    <row r="37" spans="2:6">
      <c r="B37" s="106" t="s">
        <v>3310</v>
      </c>
    </row>
  </sheetData>
  <sheetProtection algorithmName="SHA-512" hashValue="4DwgTPXBOQeK/80XbIpcQB6jKWC4ZnWu82wXhQRd8ao4MlLEz4zApHINPapij/BQ3vG5vA+Ng60t2+YmkJcWpA==" saltValue="o8QsHyC1YWKbEDGO8cdZow==" spinCount="100000" sheet="1" objects="1" scenarios="1"/>
  <mergeCells count="6">
    <mergeCell ref="F13:F14"/>
    <mergeCell ref="B20:B27"/>
    <mergeCell ref="B28:B34"/>
    <mergeCell ref="E29:F29"/>
    <mergeCell ref="E31:F31"/>
    <mergeCell ref="E33:F33"/>
  </mergeCells>
  <conditionalFormatting sqref="F20:F28 F30 F32 F34">
    <cfRule type="colorScale" priority="1">
      <colorScale>
        <cfvo type="min"/>
        <cfvo type="max"/>
        <color rgb="FFFCFCFF"/>
        <color rgb="FFF8696B"/>
      </colorScale>
    </cfRule>
  </conditionalFormatting>
  <pageMargins left="0.7" right="0.7" top="0.75" bottom="0.75" header="0.3" footer="0.3"/>
  <drawing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5134A-023E-497F-9446-E2701B49A4CD}">
  <sheetPr codeName="Sheet16">
    <tabColor theme="3" tint="0.59999389629810485"/>
  </sheetPr>
  <dimension ref="A1:X413"/>
  <sheetViews>
    <sheetView showGridLines="0" zoomScale="70" zoomScaleNormal="70" workbookViewId="0"/>
  </sheetViews>
  <sheetFormatPr defaultColWidth="9" defaultRowHeight="15"/>
  <cols>
    <col min="1" max="1" width="35" style="30" customWidth="1"/>
    <col min="2" max="2" width="39.25" style="30" customWidth="1"/>
    <col min="3" max="3" width="31" style="30" customWidth="1"/>
    <col min="4" max="4" width="33.125" style="71" customWidth="1"/>
    <col min="5" max="5" width="18.375" style="44" customWidth="1"/>
    <col min="6" max="6" width="28.625" style="30" customWidth="1"/>
    <col min="7" max="7" width="20.875" style="41" customWidth="1"/>
    <col min="8" max="8" width="25.625" style="42" customWidth="1"/>
    <col min="9" max="9" width="26.625" style="42" customWidth="1"/>
    <col min="10" max="10" width="11.125" style="42" customWidth="1"/>
    <col min="11" max="11" width="21.625" style="51" hidden="1" customWidth="1"/>
    <col min="12" max="12" width="76.625" customWidth="1"/>
    <col min="13" max="13" width="68.625" style="41" hidden="1" customWidth="1"/>
    <col min="14" max="14" width="19.125" style="30" hidden="1" customWidth="1"/>
    <col min="15" max="15" width="21.875" style="30" hidden="1" customWidth="1"/>
    <col min="16" max="16" width="18" style="30" hidden="1" customWidth="1"/>
    <col min="17" max="17" width="16.125" style="30" hidden="1" customWidth="1"/>
    <col min="18" max="18" width="14.125" style="30" customWidth="1"/>
    <col min="19" max="16384" width="9" style="30"/>
  </cols>
  <sheetData>
    <row r="1" spans="1:24" ht="20.25">
      <c r="A1" s="23" t="s">
        <v>3730</v>
      </c>
      <c r="B1" s="24"/>
      <c r="C1" s="25"/>
      <c r="D1" s="26"/>
      <c r="E1" s="25"/>
      <c r="F1" s="24"/>
      <c r="G1" s="24"/>
      <c r="H1" s="27"/>
      <c r="I1" s="27"/>
      <c r="J1" s="28"/>
      <c r="K1" s="29"/>
      <c r="L1" s="24"/>
      <c r="M1" s="24"/>
      <c r="N1" s="24"/>
      <c r="O1" s="24"/>
      <c r="P1" s="24"/>
      <c r="Q1" s="24"/>
    </row>
    <row r="2" spans="1:24">
      <c r="A2" s="31" t="s">
        <v>304</v>
      </c>
      <c r="B2" s="32"/>
      <c r="C2" s="33"/>
      <c r="D2" s="34"/>
      <c r="E2" s="33"/>
      <c r="F2" s="32"/>
      <c r="G2" s="32"/>
      <c r="H2" s="35"/>
      <c r="I2" s="35"/>
      <c r="J2" s="36"/>
      <c r="K2" s="37"/>
      <c r="L2" s="32"/>
      <c r="M2" s="32"/>
      <c r="N2" s="32"/>
      <c r="O2" s="32"/>
      <c r="P2" s="32"/>
      <c r="Q2" s="32"/>
    </row>
    <row r="3" spans="1:24">
      <c r="A3" s="38" t="s">
        <v>305</v>
      </c>
      <c r="B3" s="32"/>
      <c r="C3" s="33"/>
      <c r="D3" s="34"/>
      <c r="E3" s="33"/>
      <c r="F3" s="32"/>
      <c r="G3" s="32"/>
      <c r="H3" s="35"/>
      <c r="I3" s="35"/>
      <c r="J3" s="36"/>
      <c r="K3" s="37"/>
      <c r="L3" s="32"/>
      <c r="M3" s="32"/>
      <c r="N3" s="32"/>
      <c r="O3" s="32"/>
      <c r="P3" s="32"/>
      <c r="Q3" s="32"/>
    </row>
    <row r="4" spans="1:24" ht="8.25" customHeight="1">
      <c r="A4" s="38"/>
      <c r="B4" s="32"/>
      <c r="C4" s="33"/>
      <c r="D4" s="34"/>
      <c r="E4" s="33"/>
      <c r="F4" s="32"/>
      <c r="G4" s="32"/>
      <c r="H4" s="35"/>
      <c r="I4" s="35"/>
      <c r="J4" s="36"/>
      <c r="K4" s="37"/>
      <c r="L4" s="32"/>
      <c r="M4" s="32"/>
      <c r="N4" s="32"/>
      <c r="O4" s="32"/>
      <c r="P4" s="32"/>
      <c r="Q4" s="32"/>
    </row>
    <row r="5" spans="1:24">
      <c r="A5" s="38" t="s">
        <v>306</v>
      </c>
      <c r="B5" s="32"/>
      <c r="C5" s="33"/>
      <c r="D5" s="34"/>
      <c r="E5" s="33"/>
      <c r="F5" s="32"/>
      <c r="G5" s="32"/>
      <c r="H5" s="35"/>
      <c r="I5" s="35"/>
      <c r="J5" s="36"/>
      <c r="K5" s="37"/>
      <c r="L5" s="32"/>
      <c r="M5" s="32"/>
      <c r="N5" s="32"/>
      <c r="O5" s="32"/>
      <c r="P5" s="32"/>
      <c r="Q5" s="32"/>
    </row>
    <row r="6" spans="1:24">
      <c r="A6" s="38" t="s">
        <v>307</v>
      </c>
      <c r="B6" s="32"/>
      <c r="C6" s="33"/>
      <c r="D6" s="34"/>
      <c r="E6" s="33"/>
      <c r="F6" s="32"/>
      <c r="G6" s="32"/>
      <c r="H6" s="35"/>
      <c r="I6" s="35"/>
      <c r="J6" s="36"/>
      <c r="K6" s="37"/>
      <c r="L6" s="32"/>
      <c r="M6" s="32"/>
      <c r="N6" s="32"/>
      <c r="O6" s="32"/>
      <c r="P6" s="32"/>
      <c r="Q6" s="32"/>
    </row>
    <row r="7" spans="1:24" ht="18" customHeight="1">
      <c r="A7" s="1547" t="s">
        <v>308</v>
      </c>
      <c r="B7" s="1547"/>
      <c r="C7" s="1547"/>
      <c r="D7" s="1547"/>
      <c r="E7" s="1547"/>
      <c r="F7" s="1547"/>
      <c r="G7" s="1547"/>
      <c r="H7" s="1547"/>
      <c r="I7" s="1547"/>
      <c r="J7" s="1547"/>
      <c r="K7" s="1547"/>
      <c r="L7" s="1547"/>
      <c r="M7" s="1547"/>
      <c r="N7" s="32"/>
      <c r="O7" s="32"/>
      <c r="P7" s="32"/>
      <c r="Q7" s="32"/>
      <c r="V7" s="39"/>
    </row>
    <row r="8" spans="1:24" ht="14.25">
      <c r="A8" s="1547"/>
      <c r="B8" s="1547"/>
      <c r="C8" s="1547"/>
      <c r="D8" s="1547"/>
      <c r="E8" s="1547"/>
      <c r="F8" s="1547"/>
      <c r="G8" s="1547"/>
      <c r="H8" s="1547"/>
      <c r="I8" s="1547"/>
      <c r="J8" s="1547"/>
      <c r="K8" s="1547"/>
      <c r="L8" s="1547"/>
      <c r="M8" s="1547"/>
      <c r="N8" s="32"/>
      <c r="O8" s="32"/>
      <c r="P8" s="32"/>
      <c r="Q8" s="32"/>
    </row>
    <row r="9" spans="1:24" ht="14.25">
      <c r="A9" s="40"/>
      <c r="B9" s="40"/>
      <c r="C9" s="40"/>
      <c r="D9" s="40"/>
      <c r="E9" s="40"/>
      <c r="F9" s="40"/>
      <c r="G9" s="40"/>
      <c r="H9" s="40"/>
      <c r="I9" s="40"/>
      <c r="J9" s="40"/>
      <c r="K9" s="40"/>
      <c r="L9" s="40"/>
      <c r="N9" s="42"/>
      <c r="O9" s="42"/>
      <c r="P9" s="42"/>
      <c r="Q9" s="42"/>
      <c r="T9" s="41"/>
      <c r="W9" s="41"/>
      <c r="X9" s="41"/>
    </row>
    <row r="10" spans="1:24" ht="14.25">
      <c r="A10" s="40"/>
      <c r="B10" s="40"/>
      <c r="C10" s="40"/>
      <c r="D10" s="40"/>
      <c r="E10" s="40"/>
      <c r="F10" s="40"/>
      <c r="G10" s="40"/>
      <c r="H10" s="40"/>
      <c r="I10" s="40"/>
      <c r="J10" s="40"/>
      <c r="K10" s="40"/>
      <c r="L10" s="30"/>
      <c r="N10" s="42"/>
      <c r="O10" s="42"/>
      <c r="P10" s="42"/>
      <c r="Q10" s="42"/>
      <c r="T10" s="41"/>
      <c r="W10" s="41"/>
      <c r="X10" s="41"/>
    </row>
    <row r="11" spans="1:24">
      <c r="A11" s="40"/>
      <c r="B11" s="40"/>
      <c r="C11" s="40"/>
      <c r="D11" s="40"/>
      <c r="E11" s="40"/>
      <c r="F11" s="40"/>
      <c r="G11" s="40"/>
      <c r="H11" s="40"/>
      <c r="I11" s="40"/>
      <c r="J11" s="40"/>
      <c r="K11" s="40"/>
      <c r="L11" s="30"/>
      <c r="N11" s="42"/>
      <c r="O11" s="42"/>
      <c r="P11" s="42"/>
      <c r="Q11" s="42"/>
      <c r="T11" s="41"/>
      <c r="U11" s="43"/>
      <c r="W11" s="41"/>
      <c r="X11" s="41"/>
    </row>
    <row r="12" spans="1:24">
      <c r="C12" s="44"/>
      <c r="D12" s="45"/>
      <c r="K12" s="46"/>
      <c r="L12" s="30"/>
      <c r="N12" s="42"/>
      <c r="O12" s="42"/>
      <c r="P12" s="42"/>
      <c r="Q12" s="42"/>
      <c r="T12" s="41"/>
      <c r="W12" s="41"/>
      <c r="X12" s="41"/>
    </row>
    <row r="13" spans="1:24">
      <c r="C13" s="44"/>
      <c r="D13" s="45"/>
      <c r="K13" s="46"/>
      <c r="L13" s="30"/>
      <c r="N13" s="42"/>
      <c r="O13" s="42"/>
      <c r="P13" s="42"/>
      <c r="Q13" s="42"/>
      <c r="T13" s="41"/>
      <c r="W13" s="41"/>
      <c r="X13" s="41"/>
    </row>
    <row r="14" spans="1:24">
      <c r="C14" s="44"/>
      <c r="D14" s="45"/>
      <c r="K14" s="46"/>
      <c r="L14" s="30"/>
      <c r="N14" s="42"/>
      <c r="O14" s="42"/>
      <c r="P14" s="42"/>
      <c r="Q14" s="42"/>
      <c r="T14" s="41"/>
      <c r="W14" s="41"/>
      <c r="X14" s="41"/>
    </row>
    <row r="15" spans="1:24">
      <c r="C15" s="44"/>
      <c r="D15" s="45"/>
      <c r="K15" s="46"/>
      <c r="L15" s="30"/>
      <c r="N15" s="42"/>
      <c r="O15" s="42"/>
      <c r="P15" s="42"/>
      <c r="Q15" s="42"/>
      <c r="T15" s="41"/>
      <c r="W15" s="41"/>
      <c r="X15" s="41"/>
    </row>
    <row r="16" spans="1:24" ht="41.25" customHeight="1">
      <c r="A16" s="1548" t="s">
        <v>4088</v>
      </c>
      <c r="B16" s="1548"/>
      <c r="D16" s="47"/>
      <c r="E16" s="47"/>
      <c r="F16" s="48"/>
      <c r="G16" s="49" t="s">
        <v>310</v>
      </c>
      <c r="J16" s="50"/>
      <c r="L16" s="41"/>
      <c r="M16" s="30"/>
      <c r="O16" s="30" t="s">
        <v>311</v>
      </c>
    </row>
    <row r="17" spans="1:17" ht="43.5">
      <c r="A17" s="1548"/>
      <c r="B17" s="1548"/>
      <c r="D17" s="52" t="s">
        <v>312</v>
      </c>
      <c r="E17" s="52" t="s">
        <v>312</v>
      </c>
      <c r="F17" s="53" t="s">
        <v>312</v>
      </c>
      <c r="G17" s="54">
        <f>SUM(Table310[Emissions (MTCO2e)])</f>
        <v>0</v>
      </c>
      <c r="H17" s="55" t="s">
        <v>313</v>
      </c>
      <c r="I17" s="55" t="s">
        <v>314</v>
      </c>
      <c r="L17" s="30"/>
      <c r="M17" s="30"/>
      <c r="O17" s="56" t="s">
        <v>315</v>
      </c>
      <c r="P17" s="56" t="s">
        <v>316</v>
      </c>
      <c r="Q17" s="56" t="s">
        <v>317</v>
      </c>
    </row>
    <row r="18" spans="1:17" ht="96.75" customHeight="1">
      <c r="A18" s="57"/>
      <c r="B18" s="57"/>
      <c r="C18" s="58" t="s">
        <v>318</v>
      </c>
      <c r="D18" s="59" t="s">
        <v>319</v>
      </c>
      <c r="E18" s="59" t="s">
        <v>320</v>
      </c>
      <c r="F18" s="60" t="s">
        <v>321</v>
      </c>
      <c r="G18" s="61" t="s">
        <v>322</v>
      </c>
      <c r="H18" s="62" t="s">
        <v>4237</v>
      </c>
      <c r="I18" s="62" t="s">
        <v>4238</v>
      </c>
      <c r="J18" s="63" t="s">
        <v>323</v>
      </c>
      <c r="K18" s="64" t="s">
        <v>324</v>
      </c>
      <c r="L18" s="65" t="s">
        <v>325</v>
      </c>
      <c r="M18" s="66" t="s">
        <v>258</v>
      </c>
      <c r="N18" s="66" t="s">
        <v>326</v>
      </c>
      <c r="O18" s="67" t="s">
        <v>327</v>
      </c>
      <c r="P18" s="67" t="s">
        <v>328</v>
      </c>
      <c r="Q18" s="67" t="s">
        <v>329</v>
      </c>
    </row>
    <row r="19" spans="1:17" ht="57">
      <c r="C19" s="321" t="s">
        <v>611</v>
      </c>
      <c r="D19" s="322"/>
      <c r="E19" s="783"/>
      <c r="F19" s="325" t="s">
        <v>3306</v>
      </c>
      <c r="G19" s="319" t="str">
        <f>IFERROR(IF(E19="","",IF(F19="Direct-from-manufacturer",(E19*H19/1000*'Reporting Year &amp; Inflation Adj.'!$F$9),(E19*I19/1000*'Reporting Year &amp; Inflation Adj.'!$F$9))),"")</f>
        <v/>
      </c>
      <c r="H19" s="804">
        <v>0.11449005737</v>
      </c>
      <c r="I19" s="805">
        <v>0.16404952447999993</v>
      </c>
      <c r="J19" s="806">
        <v>0.30391308471045447</v>
      </c>
      <c r="K19" s="806">
        <v>0</v>
      </c>
      <c r="L19" s="68" t="s">
        <v>3328</v>
      </c>
      <c r="M19" s="69" t="s">
        <v>440</v>
      </c>
      <c r="N19" s="69" t="s">
        <v>613</v>
      </c>
      <c r="O19" s="70">
        <v>0.13525018490999996</v>
      </c>
      <c r="P19" s="70">
        <v>5.3779387559999996E-2</v>
      </c>
      <c r="Q19" s="70">
        <v>0.18821409093000005</v>
      </c>
    </row>
    <row r="20" spans="1:17" ht="57">
      <c r="C20" s="321" t="s">
        <v>983</v>
      </c>
      <c r="D20" s="322"/>
      <c r="E20" s="783"/>
      <c r="F20" s="323" t="s">
        <v>366</v>
      </c>
      <c r="G20" s="319" t="str">
        <f>IFERROR(IF(E20="","",IF(F20="Direct-from-manufacturer",(E20*H20/1000*'Reporting Year &amp; Inflation Adj.'!$F$9),(E20*I20/1000*'Reporting Year &amp; Inflation Adj.'!$F$9))),"")</f>
        <v/>
      </c>
      <c r="H20" s="804">
        <v>4.8505107754999999E-2</v>
      </c>
      <c r="I20" s="805">
        <v>4.8505107754999999E-2</v>
      </c>
      <c r="J20" s="806">
        <v>0</v>
      </c>
      <c r="K20" s="68">
        <v>541200</v>
      </c>
      <c r="L20" s="68" t="s">
        <v>3329</v>
      </c>
      <c r="M20" s="69" t="s">
        <v>981</v>
      </c>
      <c r="N20" s="69" t="s">
        <v>985</v>
      </c>
      <c r="O20" s="70">
        <v>5.4856132568000003E-2</v>
      </c>
      <c r="P20" s="70">
        <v>0</v>
      </c>
      <c r="Q20" s="70">
        <v>5.4856132568000003E-2</v>
      </c>
    </row>
    <row r="21" spans="1:17" ht="42.75">
      <c r="C21" s="321" t="s">
        <v>572</v>
      </c>
      <c r="D21" s="322"/>
      <c r="E21" s="783"/>
      <c r="F21" s="325"/>
      <c r="G21" s="319" t="str">
        <f>IFERROR(IF(E21="","",IF(F21="Direct-from-manufacturer",(E21*H21/1000*'Reporting Year &amp; Inflation Adj.'!$F$9),(E21*I21/1000*'Reporting Year &amp; Inflation Adj.'!$F$9))),"")</f>
        <v/>
      </c>
      <c r="H21" s="804">
        <v>0.44420921354999998</v>
      </c>
      <c r="I21" s="805">
        <v>0.47228549019999994</v>
      </c>
      <c r="J21" s="806">
        <v>5.8665950997704414E-2</v>
      </c>
      <c r="K21" s="68">
        <v>325520</v>
      </c>
      <c r="L21" s="68" t="s">
        <v>3330</v>
      </c>
      <c r="M21" s="69" t="s">
        <v>440</v>
      </c>
      <c r="N21" s="69" t="s">
        <v>571</v>
      </c>
      <c r="O21" s="70">
        <v>0.50508868622000003</v>
      </c>
      <c r="P21" s="70">
        <v>2.9101464459999997E-2</v>
      </c>
      <c r="Q21" s="70">
        <v>0.53356357142999977</v>
      </c>
    </row>
    <row r="22" spans="1:17" ht="57">
      <c r="C22" s="321" t="s">
        <v>999</v>
      </c>
      <c r="D22" s="322"/>
      <c r="E22" s="783"/>
      <c r="F22" s="323" t="s">
        <v>366</v>
      </c>
      <c r="G22" s="319" t="str">
        <f>IFERROR(IF(E22="","",IF(F22="Direct-from-manufacturer",(E22*H22/1000*'Reporting Year &amp; Inflation Adj.'!$F$9),(E22*I22/1000*'Reporting Year &amp; Inflation Adj.'!$F$9))),"")</f>
        <v/>
      </c>
      <c r="H22" s="804">
        <v>8.3390507975E-2</v>
      </c>
      <c r="I22" s="805">
        <v>8.3390507975E-2</v>
      </c>
      <c r="J22" s="806">
        <v>0</v>
      </c>
      <c r="K22" s="68">
        <v>541800</v>
      </c>
      <c r="L22" s="68" t="s">
        <v>3331</v>
      </c>
      <c r="M22" s="69" t="s">
        <v>981</v>
      </c>
      <c r="N22" s="69" t="s">
        <v>1651</v>
      </c>
      <c r="O22" s="70">
        <v>8.5939754049999983E-2</v>
      </c>
      <c r="P22" s="70">
        <v>0</v>
      </c>
      <c r="Q22" s="70">
        <v>8.5939754049999983E-2</v>
      </c>
    </row>
    <row r="23" spans="1:17" ht="99.75">
      <c r="C23" s="321" t="s">
        <v>365</v>
      </c>
      <c r="D23" s="322"/>
      <c r="E23" s="783"/>
      <c r="F23" s="323" t="s">
        <v>366</v>
      </c>
      <c r="G23" s="319" t="str">
        <f>IFERROR(IF(E23="","",IF(F23="Direct-from-manufacturer",(E23*H23/1000*'Reporting Year &amp; Inflation Adj.'!$F$9),(E23*I23/1000*'Reporting Year &amp; Inflation Adj.'!$F$9))),"")</f>
        <v/>
      </c>
      <c r="H23" s="804">
        <v>0.31584531492500001</v>
      </c>
      <c r="I23" s="805">
        <v>0.31584531492500001</v>
      </c>
      <c r="J23" s="806">
        <v>0</v>
      </c>
      <c r="K23" s="68">
        <v>115000</v>
      </c>
      <c r="L23" s="68" t="s">
        <v>3332</v>
      </c>
      <c r="M23" s="69" t="s">
        <v>332</v>
      </c>
      <c r="N23" s="69" t="s">
        <v>368</v>
      </c>
      <c r="O23" s="70">
        <v>0.39219021406000004</v>
      </c>
      <c r="P23" s="70">
        <v>0</v>
      </c>
      <c r="Q23" s="70">
        <v>0.39219021406000004</v>
      </c>
    </row>
    <row r="24" spans="1:17" ht="57">
      <c r="C24" s="321" t="s">
        <v>713</v>
      </c>
      <c r="D24" s="322"/>
      <c r="E24" s="783"/>
      <c r="F24" s="325"/>
      <c r="G24" s="319" t="str">
        <f>IFERROR(IF(E24="","",IF(F24="Direct-from-manufacturer",(E24*H24/1000*'Reporting Year &amp; Inflation Adj.'!$F$9),(E24*I24/1000*'Reporting Year &amp; Inflation Adj.'!$F$9))),"")</f>
        <v/>
      </c>
      <c r="H24" s="804">
        <v>0.12802140084000002</v>
      </c>
      <c r="I24" s="805">
        <v>0.14459936384500002</v>
      </c>
      <c r="J24" s="806">
        <v>0.11533539890173365</v>
      </c>
      <c r="K24" s="68">
        <v>333912</v>
      </c>
      <c r="L24" s="68" t="s">
        <v>3333</v>
      </c>
      <c r="M24" s="69" t="s">
        <v>440</v>
      </c>
      <c r="N24" s="69" t="s">
        <v>715</v>
      </c>
      <c r="O24" s="70">
        <v>0.15839953312999999</v>
      </c>
      <c r="P24" s="70">
        <v>1.9712300529999997E-2</v>
      </c>
      <c r="Q24" s="70">
        <v>0.17873595745999998</v>
      </c>
    </row>
    <row r="25" spans="1:17" ht="99.75">
      <c r="C25" s="321" t="s">
        <v>699</v>
      </c>
      <c r="D25" s="322"/>
      <c r="E25" s="783"/>
      <c r="F25" s="325"/>
      <c r="G25" s="319" t="str">
        <f>IFERROR(IF(E25="","",IF(F25="Direct-from-manufacturer",(E25*H25/1000*'Reporting Year &amp; Inflation Adj.'!$F$9),(E25*I25/1000*'Reporting Year &amp; Inflation Adj.'!$F$9))),"")</f>
        <v/>
      </c>
      <c r="H25" s="804">
        <v>0.15041488132000005</v>
      </c>
      <c r="I25" s="805">
        <v>0.17434141682500001</v>
      </c>
      <c r="J25" s="806">
        <v>0.13977132711075746</v>
      </c>
      <c r="K25" s="68">
        <v>333415</v>
      </c>
      <c r="L25" s="68" t="s">
        <v>3334</v>
      </c>
      <c r="M25" s="69" t="s">
        <v>440</v>
      </c>
      <c r="N25" s="69" t="s">
        <v>697</v>
      </c>
      <c r="O25" s="70">
        <v>0.15945569237000004</v>
      </c>
      <c r="P25" s="70">
        <v>2.8402677830000004E-2</v>
      </c>
      <c r="Q25" s="70">
        <v>0.18819985696999997</v>
      </c>
    </row>
    <row r="26" spans="1:17" ht="99.75">
      <c r="C26" s="321" t="s">
        <v>695</v>
      </c>
      <c r="D26" s="322"/>
      <c r="E26" s="783"/>
      <c r="F26" s="325"/>
      <c r="G26" s="319" t="str">
        <f>IFERROR(IF(E26="","",IF(F26="Direct-from-manufacturer",(E26*H26/1000*'Reporting Year &amp; Inflation Adj.'!$F$9),(E26*I26/1000*'Reporting Year &amp; Inflation Adj.'!$F$9))),"")</f>
        <v/>
      </c>
      <c r="H26" s="804">
        <v>0.16221502102499999</v>
      </c>
      <c r="I26" s="805">
        <v>0.18498200331</v>
      </c>
      <c r="J26" s="806">
        <v>0.12357977057741272</v>
      </c>
      <c r="K26" s="68">
        <v>333413</v>
      </c>
      <c r="L26" s="68" t="s">
        <v>3335</v>
      </c>
      <c r="M26" s="69" t="s">
        <v>440</v>
      </c>
      <c r="N26" s="69" t="s">
        <v>697</v>
      </c>
      <c r="O26" s="70">
        <v>0.18522373465</v>
      </c>
      <c r="P26" s="70">
        <v>2.545976719E-2</v>
      </c>
      <c r="Q26" s="70">
        <v>0.21067470106000002</v>
      </c>
    </row>
    <row r="27" spans="1:17" ht="71.25">
      <c r="C27" s="321" t="s">
        <v>800</v>
      </c>
      <c r="D27" s="322"/>
      <c r="E27" s="783"/>
      <c r="F27" s="325"/>
      <c r="G27" s="319" t="str">
        <f>IFERROR(IF(E27="","",IF(F27="Direct-from-manufacturer",(E27*H27/1000*'Reporting Year &amp; Inflation Adj.'!$F$9),(E27*I27/1000*'Reporting Year &amp; Inflation Adj.'!$F$9))),"")</f>
        <v/>
      </c>
      <c r="H27" s="804">
        <v>0.11809334772499998</v>
      </c>
      <c r="I27" s="805">
        <v>0.12625637168500001</v>
      </c>
      <c r="J27" s="806">
        <v>6.5457923795871828E-2</v>
      </c>
      <c r="K27" s="68">
        <v>336411</v>
      </c>
      <c r="L27" s="68" t="s">
        <v>3336</v>
      </c>
      <c r="M27" s="69" t="s">
        <v>440</v>
      </c>
      <c r="N27" s="69" t="s">
        <v>802</v>
      </c>
      <c r="O27" s="70">
        <v>0.13127988367999999</v>
      </c>
      <c r="P27" s="70">
        <v>8.6784493709999994E-3</v>
      </c>
      <c r="Q27" s="70">
        <v>0.14061782380999996</v>
      </c>
    </row>
    <row r="28" spans="1:17" ht="85.5">
      <c r="C28" s="321" t="s">
        <v>803</v>
      </c>
      <c r="D28" s="322"/>
      <c r="E28" s="783"/>
      <c r="F28" s="325"/>
      <c r="G28" s="319" t="str">
        <f>IFERROR(IF(E28="","",IF(F28="Direct-from-manufacturer",(E28*H28/1000*'Reporting Year &amp; Inflation Adj.'!$F$9),(E28*I28/1000*'Reporting Year &amp; Inflation Adj.'!$F$9))),"")</f>
        <v/>
      </c>
      <c r="H28" s="804">
        <v>0.13375543767</v>
      </c>
      <c r="I28" s="805">
        <v>0.13847475140999999</v>
      </c>
      <c r="J28" s="806">
        <v>3.6946879477340815E-2</v>
      </c>
      <c r="K28" s="68">
        <v>336412</v>
      </c>
      <c r="L28" s="68" t="s">
        <v>3337</v>
      </c>
      <c r="M28" s="69" t="s">
        <v>440</v>
      </c>
      <c r="N28" s="69" t="s">
        <v>802</v>
      </c>
      <c r="O28" s="70">
        <v>0.15142851339999999</v>
      </c>
      <c r="P28" s="70">
        <v>5.3536557469999997E-3</v>
      </c>
      <c r="Q28" s="70">
        <v>0.15727684065</v>
      </c>
    </row>
    <row r="29" spans="1:17" ht="57">
      <c r="C29" s="321" t="s">
        <v>537</v>
      </c>
      <c r="D29" s="322"/>
      <c r="E29" s="783"/>
      <c r="F29" s="325"/>
      <c r="G29" s="319" t="str">
        <f>IFERROR(IF(E29="","",IF(F29="Direct-from-manufacturer",(E29*H29/1000*'Reporting Year &amp; Inflation Adj.'!$F$9),(E29*I29/1000*'Reporting Year &amp; Inflation Adj.'!$F$9))),"")</f>
        <v/>
      </c>
      <c r="H29" s="804">
        <v>0.27356487213000003</v>
      </c>
      <c r="I29" s="805">
        <v>0.31060490289000003</v>
      </c>
      <c r="J29" s="806">
        <v>0.1176180451437947</v>
      </c>
      <c r="K29" s="68">
        <v>322299</v>
      </c>
      <c r="L29" s="68" t="s">
        <v>3338</v>
      </c>
      <c r="M29" s="69" t="s">
        <v>440</v>
      </c>
      <c r="N29" s="69" t="s">
        <v>533</v>
      </c>
      <c r="O29" s="70">
        <v>0.30617577430999998</v>
      </c>
      <c r="P29" s="70">
        <v>3.7947984089999998E-2</v>
      </c>
      <c r="Q29" s="70">
        <v>0.34489314041999997</v>
      </c>
    </row>
    <row r="30" spans="1:17" ht="85.5">
      <c r="C30" s="321" t="s">
        <v>1090</v>
      </c>
      <c r="D30" s="322"/>
      <c r="E30" s="783"/>
      <c r="F30" s="323" t="s">
        <v>366</v>
      </c>
      <c r="G30" s="319" t="str">
        <f>IFERROR(IF(E30="","",IF(F30="Direct-from-manufacturer",(E30*H30/1000*'Reporting Year &amp; Inflation Adj.'!$F$9),(E30*I30/1000*'Reporting Year &amp; Inflation Adj.'!$F$9))),"")</f>
        <v/>
      </c>
      <c r="H30" s="804">
        <v>0.116546127835</v>
      </c>
      <c r="I30" s="805">
        <v>0.116546127835</v>
      </c>
      <c r="J30" s="806">
        <v>0</v>
      </c>
      <c r="K30" s="68" t="s">
        <v>1091</v>
      </c>
      <c r="L30" s="68" t="s">
        <v>3339</v>
      </c>
      <c r="M30" s="69" t="s">
        <v>1088</v>
      </c>
      <c r="N30" s="69" t="s">
        <v>1092</v>
      </c>
      <c r="O30" s="70">
        <v>0.13447425789499998</v>
      </c>
      <c r="P30" s="70">
        <v>0</v>
      </c>
      <c r="Q30" s="70">
        <v>0.13447425789499998</v>
      </c>
    </row>
    <row r="31" spans="1:17" ht="99.75">
      <c r="C31" s="321" t="s">
        <v>483</v>
      </c>
      <c r="D31" s="322"/>
      <c r="E31" s="783"/>
      <c r="F31" s="325"/>
      <c r="G31" s="319" t="str">
        <f>IFERROR(IF(E31="","",IF(F31="Direct-from-manufacturer",(E31*H31/1000*'Reporting Year &amp; Inflation Adj.'!$F$9),(E31*I31/1000*'Reporting Year &amp; Inflation Adj.'!$F$9))),"")</f>
        <v/>
      </c>
      <c r="H31" s="804">
        <v>0.32842554768999999</v>
      </c>
      <c r="I31" s="805">
        <v>0.36880524214999999</v>
      </c>
      <c r="J31" s="806">
        <v>0.11131091379200997</v>
      </c>
      <c r="K31" s="68">
        <v>311990</v>
      </c>
      <c r="L31" s="68" t="s">
        <v>3340</v>
      </c>
      <c r="M31" s="69" t="s">
        <v>440</v>
      </c>
      <c r="N31" s="69" t="s">
        <v>479</v>
      </c>
      <c r="O31" s="70">
        <v>0.36685837658999998</v>
      </c>
      <c r="P31" s="70">
        <v>4.2517632369999996E-2</v>
      </c>
      <c r="Q31" s="70">
        <v>0.40958153941000003</v>
      </c>
    </row>
    <row r="32" spans="1:17" ht="128.25">
      <c r="C32" s="321" t="s">
        <v>638</v>
      </c>
      <c r="D32" s="322"/>
      <c r="E32" s="783"/>
      <c r="F32" s="325"/>
      <c r="G32" s="319" t="str">
        <f>IFERROR(IF(E32="","",IF(F32="Direct-from-manufacturer",(E32*H32/1000*'Reporting Year &amp; Inflation Adj.'!$F$9),(E32*I32/1000*'Reporting Year &amp; Inflation Adj.'!$F$9))),"")</f>
        <v/>
      </c>
      <c r="H32" s="804">
        <v>0.44643721917999996</v>
      </c>
      <c r="I32" s="805">
        <v>0.46958829207000002</v>
      </c>
      <c r="J32" s="806">
        <v>4.8699807876792227E-2</v>
      </c>
      <c r="K32" s="68" t="s">
        <v>639</v>
      </c>
      <c r="L32" s="68" t="s">
        <v>3341</v>
      </c>
      <c r="M32" s="69" t="s">
        <v>440</v>
      </c>
      <c r="N32" s="69" t="s">
        <v>640</v>
      </c>
      <c r="O32" s="70">
        <v>0.47232229399000003</v>
      </c>
      <c r="P32" s="70">
        <v>2.3171647508000003E-2</v>
      </c>
      <c r="Q32" s="70">
        <v>0.49489836366000012</v>
      </c>
    </row>
    <row r="33" spans="3:17" ht="42.75">
      <c r="C33" s="321" t="s">
        <v>1053</v>
      </c>
      <c r="D33" s="322"/>
      <c r="E33" s="783"/>
      <c r="F33" s="323" t="s">
        <v>366</v>
      </c>
      <c r="G33" s="319" t="str">
        <f>IFERROR(IF(E33="","",IF(F33="Direct-from-manufacturer",(E33*H33/1000*'Reporting Year &amp; Inflation Adj.'!$F$9),(E33*I33/1000*'Reporting Year &amp; Inflation Adj.'!$F$9))),"")</f>
        <v/>
      </c>
      <c r="H33" s="804">
        <v>0.16426804695000002</v>
      </c>
      <c r="I33" s="805">
        <v>0.16426804695000002</v>
      </c>
      <c r="J33" s="806">
        <v>0</v>
      </c>
      <c r="K33" s="68">
        <v>621900</v>
      </c>
      <c r="L33" s="68" t="s">
        <v>3342</v>
      </c>
      <c r="M33" s="69" t="s">
        <v>1038</v>
      </c>
      <c r="N33" s="69" t="s">
        <v>1054</v>
      </c>
      <c r="O33" s="70">
        <v>0.18187063990999999</v>
      </c>
      <c r="P33" s="70">
        <v>0</v>
      </c>
      <c r="Q33" s="70">
        <v>0.18187063990999999</v>
      </c>
    </row>
    <row r="34" spans="3:17" ht="57">
      <c r="C34" s="321" t="s">
        <v>675</v>
      </c>
      <c r="D34" s="322"/>
      <c r="E34" s="783"/>
      <c r="F34" s="325"/>
      <c r="G34" s="319" t="str">
        <f>IFERROR(IF(E34="","",IF(F34="Direct-from-manufacturer",(E34*H34/1000*'Reporting Year &amp; Inflation Adj.'!$F$9),(E34*I34/1000*'Reporting Year &amp; Inflation Adj.'!$F$9))),"")</f>
        <v/>
      </c>
      <c r="H34" s="804">
        <v>0.10030904631</v>
      </c>
      <c r="I34" s="805">
        <v>0.14779812347499996</v>
      </c>
      <c r="J34" s="806">
        <v>0.32275952453529627</v>
      </c>
      <c r="K34" s="68" t="s">
        <v>676</v>
      </c>
      <c r="L34" s="68" t="s">
        <v>3343</v>
      </c>
      <c r="M34" s="69" t="s">
        <v>440</v>
      </c>
      <c r="N34" s="69" t="s">
        <v>671</v>
      </c>
      <c r="O34" s="70">
        <v>0.11538552659999997</v>
      </c>
      <c r="P34" s="70">
        <v>5.4065894479999994E-2</v>
      </c>
      <c r="Q34" s="70">
        <v>0.16914455318999996</v>
      </c>
    </row>
    <row r="35" spans="3:17" ht="28.5">
      <c r="C35" s="321" t="s">
        <v>1081</v>
      </c>
      <c r="D35" s="322"/>
      <c r="E35" s="783"/>
      <c r="F35" s="323" t="s">
        <v>366</v>
      </c>
      <c r="G35" s="319" t="str">
        <f>IFERROR(IF(E35="","",IF(F35="Direct-from-manufacturer",(E35*H35/1000*'Reporting Year &amp; Inflation Adj.'!$F$9),(E35*I35/1000*'Reporting Year &amp; Inflation Adj.'!$F$9))),"")</f>
        <v/>
      </c>
      <c r="H35" s="804">
        <v>0.14470422837500002</v>
      </c>
      <c r="I35" s="805">
        <v>0.14470422837500002</v>
      </c>
      <c r="J35" s="806">
        <v>0</v>
      </c>
      <c r="K35" s="68">
        <v>713100</v>
      </c>
      <c r="L35" s="68" t="s">
        <v>3344</v>
      </c>
      <c r="M35" s="69" t="s">
        <v>1071</v>
      </c>
      <c r="N35" s="69" t="s">
        <v>1082</v>
      </c>
      <c r="O35" s="70">
        <v>0.17024007172</v>
      </c>
      <c r="P35" s="70">
        <v>0</v>
      </c>
      <c r="Q35" s="70">
        <v>0.17024007172</v>
      </c>
    </row>
    <row r="36" spans="3:17" ht="71.25">
      <c r="C36" s="321" t="s">
        <v>751</v>
      </c>
      <c r="D36" s="322"/>
      <c r="E36" s="783"/>
      <c r="F36" s="325"/>
      <c r="G36" s="319" t="str">
        <f>IFERROR(IF(E36="","",IF(F36="Direct-from-manufacturer",(E36*H36/1000*'Reporting Year &amp; Inflation Adj.'!$F$9),(E36*I36/1000*'Reporting Year &amp; Inflation Adj.'!$F$9))),"")</f>
        <v/>
      </c>
      <c r="H36" s="804">
        <v>6.8393250025000019E-2</v>
      </c>
      <c r="I36" s="805">
        <v>9.0185718264999978E-2</v>
      </c>
      <c r="J36" s="806">
        <v>0.24282840544276058</v>
      </c>
      <c r="K36" s="68">
        <v>334516</v>
      </c>
      <c r="L36" s="68" t="s">
        <v>3345</v>
      </c>
      <c r="M36" s="69" t="s">
        <v>440</v>
      </c>
      <c r="N36" s="69" t="s">
        <v>745</v>
      </c>
      <c r="O36" s="70">
        <v>7.8518070209999999E-2</v>
      </c>
      <c r="P36" s="70">
        <v>2.4407085899999997E-2</v>
      </c>
      <c r="Q36" s="70">
        <v>0.10292345509</v>
      </c>
    </row>
    <row r="37" spans="3:17" ht="171">
      <c r="C37" s="321" t="s">
        <v>353</v>
      </c>
      <c r="D37" s="322"/>
      <c r="E37" s="783"/>
      <c r="F37" s="325"/>
      <c r="G37" s="319" t="str">
        <f>IFERROR(IF(E37="","",IF(F37="Direct-from-manufacturer",(E37*H37/1000*'Reporting Year &amp; Inflation Adj.'!$F$9),(E37*I37/1000*'Reporting Year &amp; Inflation Adj.'!$F$9))),"")</f>
        <v/>
      </c>
      <c r="H37" s="804">
        <v>0.86665402430000005</v>
      </c>
      <c r="I37" s="805">
        <v>0.90874800032499992</v>
      </c>
      <c r="J37" s="806">
        <v>4.8423000434952845E-2</v>
      </c>
      <c r="K37" s="68" t="s">
        <v>354</v>
      </c>
      <c r="L37" s="68" t="s">
        <v>3346</v>
      </c>
      <c r="M37" s="69" t="s">
        <v>332</v>
      </c>
      <c r="N37" s="69" t="s">
        <v>355</v>
      </c>
      <c r="O37" s="70">
        <v>1.1287846363560001</v>
      </c>
      <c r="P37" s="70">
        <v>5.1158783097999996E-2</v>
      </c>
      <c r="Q37" s="70">
        <v>1.1794123411699999</v>
      </c>
    </row>
    <row r="38" spans="3:17" ht="57">
      <c r="C38" s="321" t="s">
        <v>986</v>
      </c>
      <c r="D38" s="322"/>
      <c r="E38" s="783"/>
      <c r="F38" s="323" t="s">
        <v>366</v>
      </c>
      <c r="G38" s="319" t="str">
        <f>IFERROR(IF(E38="","",IF(F38="Direct-from-manufacturer",(E38*H38/1000*'Reporting Year &amp; Inflation Adj.'!$F$9),(E38*I38/1000*'Reporting Year &amp; Inflation Adj.'!$F$9))),"")</f>
        <v/>
      </c>
      <c r="H38" s="804">
        <v>9.3105252839999986E-2</v>
      </c>
      <c r="I38" s="805">
        <v>9.3105252839999986E-2</v>
      </c>
      <c r="J38" s="806">
        <v>0</v>
      </c>
      <c r="K38" s="68">
        <v>541300</v>
      </c>
      <c r="L38" s="68" t="s">
        <v>3347</v>
      </c>
      <c r="M38" s="69" t="s">
        <v>981</v>
      </c>
      <c r="N38" s="69" t="s">
        <v>988</v>
      </c>
      <c r="O38" s="70">
        <v>0.10430738123999997</v>
      </c>
      <c r="P38" s="70">
        <v>0</v>
      </c>
      <c r="Q38" s="70">
        <v>0.10430738123999997</v>
      </c>
    </row>
    <row r="39" spans="3:17" ht="42.75">
      <c r="C39" s="321" t="s">
        <v>545</v>
      </c>
      <c r="D39" s="322"/>
      <c r="E39" s="783"/>
      <c r="F39" s="325"/>
      <c r="G39" s="319" t="str">
        <f>IFERROR(IF(E39="","",IF(F39="Direct-from-manufacturer",(E39*H39/1000*'Reporting Year &amp; Inflation Adj.'!$F$9),(E39*I39/1000*'Reporting Year &amp; Inflation Adj.'!$F$9))),"")</f>
        <v/>
      </c>
      <c r="H39" s="804">
        <v>0.90236574558999993</v>
      </c>
      <c r="I39" s="805">
        <v>0.92828964729999996</v>
      </c>
      <c r="J39" s="806">
        <v>2.7323294915302457E-2</v>
      </c>
      <c r="K39" s="68">
        <v>324121</v>
      </c>
      <c r="L39" s="68" t="s">
        <v>3348</v>
      </c>
      <c r="M39" s="69" t="s">
        <v>440</v>
      </c>
      <c r="N39" s="69" t="s">
        <v>544</v>
      </c>
      <c r="O39" s="70">
        <v>1.1025855085700003</v>
      </c>
      <c r="P39" s="70">
        <v>2.794347959E-2</v>
      </c>
      <c r="Q39" s="70">
        <v>1.1269681298400001</v>
      </c>
    </row>
    <row r="40" spans="3:17" ht="57">
      <c r="C40" s="321" t="s">
        <v>546</v>
      </c>
      <c r="D40" s="322"/>
      <c r="E40" s="783"/>
      <c r="F40" s="325"/>
      <c r="G40" s="319" t="str">
        <f>IFERROR(IF(E40="","",IF(F40="Direct-from-manufacturer",(E40*H40/1000*'Reporting Year &amp; Inflation Adj.'!$F$9),(E40*I40/1000*'Reporting Year &amp; Inflation Adj.'!$F$9))),"")</f>
        <v/>
      </c>
      <c r="H40" s="804">
        <v>0.51873300056000005</v>
      </c>
      <c r="I40" s="805">
        <v>0.54975766621999989</v>
      </c>
      <c r="J40" s="806">
        <v>5.5683236416660897E-2</v>
      </c>
      <c r="K40" s="68">
        <v>324122</v>
      </c>
      <c r="L40" s="68" t="s">
        <v>3349</v>
      </c>
      <c r="M40" s="69" t="s">
        <v>440</v>
      </c>
      <c r="N40" s="69" t="s">
        <v>544</v>
      </c>
      <c r="O40" s="70">
        <v>0.57876085089000018</v>
      </c>
      <c r="P40" s="70">
        <v>3.182666540399999E-2</v>
      </c>
      <c r="Q40" s="70">
        <v>0.61045555746000013</v>
      </c>
    </row>
    <row r="41" spans="3:17" ht="71.25">
      <c r="C41" s="321" t="s">
        <v>734</v>
      </c>
      <c r="D41" s="322"/>
      <c r="E41" s="783"/>
      <c r="F41" s="325"/>
      <c r="G41" s="319" t="str">
        <f>IFERROR(IF(E41="","",IF(F41="Direct-from-manufacturer",(E41*H41/1000*'Reporting Year &amp; Inflation Adj.'!$F$9),(E41*I41/1000*'Reporting Year &amp; Inflation Adj.'!$F$9))),"")</f>
        <v/>
      </c>
      <c r="H41" s="804">
        <v>3.963316904500002E-2</v>
      </c>
      <c r="I41" s="805">
        <v>7.3974066564999982E-2</v>
      </c>
      <c r="J41" s="806">
        <v>0.46441986165263355</v>
      </c>
      <c r="K41" s="68">
        <v>334300</v>
      </c>
      <c r="L41" s="68" t="s">
        <v>3350</v>
      </c>
      <c r="M41" s="69" t="s">
        <v>440</v>
      </c>
      <c r="N41" s="69" t="s">
        <v>736</v>
      </c>
      <c r="O41" s="70">
        <v>4.3560860049999997E-2</v>
      </c>
      <c r="P41" s="70">
        <v>3.8550819220000004E-2</v>
      </c>
      <c r="Q41" s="70">
        <v>8.2115830600000009E-2</v>
      </c>
    </row>
    <row r="42" spans="3:17" ht="71.25">
      <c r="C42" s="321" t="s">
        <v>747</v>
      </c>
      <c r="D42" s="783"/>
      <c r="E42" s="783"/>
      <c r="F42" s="325"/>
      <c r="G42" s="784" t="str">
        <f>IFERROR(IF(E42="","",IF(F42="Direct-from-manufacturer",(E42*H42/1000*'Reporting Year &amp; Inflation Adj.'!$F$9),(E42*I42/1000*'Reporting Year &amp; Inflation Adj.'!$F$9))),"")</f>
        <v/>
      </c>
      <c r="H42" s="804">
        <v>4.1879130010000001E-2</v>
      </c>
      <c r="I42" s="805">
        <v>6.2839015090000006E-2</v>
      </c>
      <c r="J42" s="806">
        <v>0.33349938322529493</v>
      </c>
      <c r="K42" s="68">
        <v>334512</v>
      </c>
      <c r="L42" s="68" t="s">
        <v>3351</v>
      </c>
      <c r="M42" s="69" t="s">
        <v>440</v>
      </c>
      <c r="N42" s="69" t="s">
        <v>745</v>
      </c>
      <c r="O42" s="70">
        <v>4.7261545041000004E-2</v>
      </c>
      <c r="P42" s="70">
        <v>2.3088755809999997E-2</v>
      </c>
      <c r="Q42" s="70">
        <v>7.0354920909999993E-2</v>
      </c>
    </row>
    <row r="43" spans="3:17" ht="42.75">
      <c r="C43" s="321" t="s">
        <v>779</v>
      </c>
      <c r="D43" s="322"/>
      <c r="E43" s="783"/>
      <c r="F43" s="325"/>
      <c r="G43" s="319" t="str">
        <f>IFERROR(IF(E43="","",IF(F43="Direct-from-manufacturer",(E43*H43/1000*'Reporting Year &amp; Inflation Adj.'!$F$9),(E43*I43/1000*'Reporting Year &amp; Inflation Adj.'!$F$9))),"")</f>
        <v/>
      </c>
      <c r="H43" s="804">
        <v>0.18847009641500001</v>
      </c>
      <c r="I43" s="805">
        <v>0.23696765222499999</v>
      </c>
      <c r="J43" s="806">
        <v>0.20720193802392728</v>
      </c>
      <c r="K43" s="68">
        <v>336111</v>
      </c>
      <c r="L43" s="68" t="s">
        <v>3352</v>
      </c>
      <c r="M43" s="69" t="s">
        <v>440</v>
      </c>
      <c r="N43" s="69" t="s">
        <v>781</v>
      </c>
      <c r="O43" s="70">
        <v>0.19173530783000001</v>
      </c>
      <c r="P43" s="70">
        <v>5.0411641090000001E-2</v>
      </c>
      <c r="Q43" s="70">
        <v>0.24169422710000002</v>
      </c>
    </row>
    <row r="44" spans="3:17" ht="57">
      <c r="C44" s="321" t="s">
        <v>674</v>
      </c>
      <c r="D44" s="322"/>
      <c r="E44" s="783"/>
      <c r="F44" s="325"/>
      <c r="G44" s="319" t="str">
        <f>IFERROR(IF(E44="","",IF(F44="Direct-from-manufacturer",(E44*H44/1000*'Reporting Year &amp; Inflation Adj.'!$F$9),(E44*I44/1000*'Reporting Year &amp; Inflation Adj.'!$F$9))),"")</f>
        <v/>
      </c>
      <c r="H44" s="804">
        <v>0.16157557735999997</v>
      </c>
      <c r="I44" s="805">
        <v>0.18314192619</v>
      </c>
      <c r="J44" s="806">
        <v>0.12116207081375352</v>
      </c>
      <c r="K44" s="68">
        <v>332991</v>
      </c>
      <c r="L44" s="68" t="s">
        <v>3353</v>
      </c>
      <c r="M44" s="69" t="s">
        <v>440</v>
      </c>
      <c r="N44" s="69" t="s">
        <v>671</v>
      </c>
      <c r="O44" s="70">
        <v>0.18019062365000002</v>
      </c>
      <c r="P44" s="70">
        <v>2.4307178970000003E-2</v>
      </c>
      <c r="Q44" s="70">
        <v>0.20440302399000007</v>
      </c>
    </row>
    <row r="45" spans="3:17" ht="57">
      <c r="C45" s="321" t="s">
        <v>567</v>
      </c>
      <c r="D45" s="322"/>
      <c r="E45" s="783"/>
      <c r="F45" s="325"/>
      <c r="G45" s="319" t="str">
        <f>IFERROR(IF(E45="","",IF(F45="Direct-from-manufacturer",(E45*H45/1000*'Reporting Year &amp; Inflation Adj.'!$F$9),(E45*I45/1000*'Reporting Year &amp; Inflation Adj.'!$F$9))),"")</f>
        <v/>
      </c>
      <c r="H45" s="804">
        <v>0.14728228939499999</v>
      </c>
      <c r="I45" s="805">
        <v>0.16966179472999998</v>
      </c>
      <c r="J45" s="806">
        <v>0.12911790901341008</v>
      </c>
      <c r="K45" s="68">
        <v>325413</v>
      </c>
      <c r="L45" s="68" t="s">
        <v>3354</v>
      </c>
      <c r="M45" s="69" t="s">
        <v>440</v>
      </c>
      <c r="N45" s="69" t="s">
        <v>565</v>
      </c>
      <c r="O45" s="70">
        <v>0.16249880304</v>
      </c>
      <c r="P45" s="70">
        <v>2.2488066719999998E-2</v>
      </c>
      <c r="Q45" s="70">
        <v>0.18527496689</v>
      </c>
    </row>
    <row r="46" spans="3:17" ht="57">
      <c r="C46" s="321" t="s">
        <v>814</v>
      </c>
      <c r="D46" s="322"/>
      <c r="E46" s="783"/>
      <c r="F46" s="325"/>
      <c r="G46" s="319" t="str">
        <f>IFERROR(IF(E46="","",IF(F46="Direct-from-manufacturer",(E46*H46/1000*'Reporting Year &amp; Inflation Adj.'!$F$9),(E46*I46/1000*'Reporting Year &amp; Inflation Adj.'!$F$9))),"")</f>
        <v/>
      </c>
      <c r="H46" s="804">
        <v>0.13072818874</v>
      </c>
      <c r="I46" s="805">
        <v>0.15889679324499997</v>
      </c>
      <c r="J46" s="806">
        <v>0.17657955558447311</v>
      </c>
      <c r="K46" s="68">
        <v>336612</v>
      </c>
      <c r="L46" s="68" t="s">
        <v>3355</v>
      </c>
      <c r="M46" s="69" t="s">
        <v>440</v>
      </c>
      <c r="N46" s="69" t="s">
        <v>813</v>
      </c>
      <c r="O46" s="70">
        <v>0.15157205155</v>
      </c>
      <c r="P46" s="70">
        <v>3.2162848387000002E-2</v>
      </c>
      <c r="Q46" s="70">
        <v>0.18332743845999999</v>
      </c>
    </row>
    <row r="47" spans="3:17" ht="42.75">
      <c r="C47" s="321" t="s">
        <v>907</v>
      </c>
      <c r="D47" s="322"/>
      <c r="E47" s="783"/>
      <c r="F47" s="325"/>
      <c r="G47" s="319" t="str">
        <f>IFERROR(IF(E47="","",IF(F47="Direct-from-manufacturer",(E47*H47/1000*'Reporting Year &amp; Inflation Adj.'!$F$9),(E47*I47/1000*'Reporting Year &amp; Inflation Adj.'!$F$9))),"")</f>
        <v/>
      </c>
      <c r="H47" s="804">
        <v>6.2699455835000001E-2</v>
      </c>
      <c r="I47" s="805">
        <v>9.3146544900000017E-2</v>
      </c>
      <c r="J47" s="806">
        <v>0.32805535039228273</v>
      </c>
      <c r="K47" s="68">
        <v>511130</v>
      </c>
      <c r="L47" s="68" t="s">
        <v>3356</v>
      </c>
      <c r="M47" s="69" t="s">
        <v>904</v>
      </c>
      <c r="N47" s="69" t="s">
        <v>905</v>
      </c>
      <c r="O47" s="70">
        <v>7.2675180310000004E-2</v>
      </c>
      <c r="P47" s="70">
        <v>3.5434251899999991E-2</v>
      </c>
      <c r="Q47" s="70">
        <v>0.10806946460999999</v>
      </c>
    </row>
    <row r="48" spans="3:17" ht="85.5">
      <c r="C48" s="321" t="s">
        <v>538</v>
      </c>
      <c r="D48" s="322"/>
      <c r="E48" s="783"/>
      <c r="F48" s="325"/>
      <c r="G48" s="319" t="str">
        <f>IFERROR(IF(E48="","",IF(F48="Direct-from-manufacturer",(E48*H48/1000*'Reporting Year &amp; Inflation Adj.'!$F$9),(E48*I48/1000*'Reporting Year &amp; Inflation Adj.'!$F$9))),"")</f>
        <v/>
      </c>
      <c r="H48" s="804">
        <v>0.17906573107500001</v>
      </c>
      <c r="I48" s="805">
        <v>0.21055887039999999</v>
      </c>
      <c r="J48" s="806">
        <v>0.14811362366617256</v>
      </c>
      <c r="K48" s="68">
        <v>323110</v>
      </c>
      <c r="L48" s="68" t="s">
        <v>3357</v>
      </c>
      <c r="M48" s="69" t="s">
        <v>440</v>
      </c>
      <c r="N48" s="69" t="s">
        <v>540</v>
      </c>
      <c r="O48" s="70">
        <v>0.20291943952999994</v>
      </c>
      <c r="P48" s="70">
        <v>3.4342756360000004E-2</v>
      </c>
      <c r="Q48" s="70">
        <v>0.23723199728</v>
      </c>
    </row>
    <row r="49" spans="3:17" ht="28.5">
      <c r="C49" s="321" t="s">
        <v>472</v>
      </c>
      <c r="D49" s="322"/>
      <c r="E49" s="783"/>
      <c r="F49" s="325"/>
      <c r="G49" s="319" t="str">
        <f>IFERROR(IF(E49="","",IF(F49="Direct-from-manufacturer",(E49*H49/1000*'Reporting Year &amp; Inflation Adj.'!$F$9),(E49*I49/1000*'Reporting Year &amp; Inflation Adj.'!$F$9))),"")</f>
        <v/>
      </c>
      <c r="H49" s="804">
        <v>0.17239808645499999</v>
      </c>
      <c r="I49" s="805">
        <v>0.20550046686000001</v>
      </c>
      <c r="J49" s="806">
        <v>0.16060990339494158</v>
      </c>
      <c r="K49" s="68">
        <v>311810</v>
      </c>
      <c r="L49" s="68" t="s">
        <v>3358</v>
      </c>
      <c r="M49" s="69" t="s">
        <v>440</v>
      </c>
      <c r="N49" s="69" t="s">
        <v>474</v>
      </c>
      <c r="O49" s="70">
        <v>0.21719224828000006</v>
      </c>
      <c r="P49" s="70">
        <v>4.0317219759999995E-2</v>
      </c>
      <c r="Q49" s="70">
        <v>0.25669491394000005</v>
      </c>
    </row>
    <row r="50" spans="3:17" ht="28.5">
      <c r="C50" s="321" t="s">
        <v>449</v>
      </c>
      <c r="D50" s="322"/>
      <c r="E50" s="783"/>
      <c r="F50" s="325"/>
      <c r="G50" s="319" t="str">
        <f>IFERROR(IF(E50="","",IF(F50="Direct-from-manufacturer",(E50*H50/1000*'Reporting Year &amp; Inflation Adj.'!$F$9),(E50*I50/1000*'Reporting Year &amp; Inflation Adj.'!$F$9))),"")</f>
        <v/>
      </c>
      <c r="H50" s="804">
        <v>0.35689937112999998</v>
      </c>
      <c r="I50" s="805">
        <v>0.39594480620000011</v>
      </c>
      <c r="J50" s="806">
        <v>9.7856900086292872E-2</v>
      </c>
      <c r="K50" s="68">
        <v>311230</v>
      </c>
      <c r="L50" s="68" t="s">
        <v>3359</v>
      </c>
      <c r="M50" s="69" t="s">
        <v>440</v>
      </c>
      <c r="N50" s="69" t="s">
        <v>445</v>
      </c>
      <c r="O50" s="70">
        <v>0.42861508355</v>
      </c>
      <c r="P50" s="70">
        <v>5.0002900549999993E-2</v>
      </c>
      <c r="Q50" s="70">
        <v>0.47851964941999997</v>
      </c>
    </row>
    <row r="51" spans="3:17" ht="28.5">
      <c r="C51" s="321" t="s">
        <v>487</v>
      </c>
      <c r="D51" s="322"/>
      <c r="E51" s="783"/>
      <c r="F51" s="325"/>
      <c r="G51" s="319" t="str">
        <f>IFERROR(IF(E51="","",IF(F51="Direct-from-manufacturer",(E51*H51/1000*'Reporting Year &amp; Inflation Adj.'!$F$9),(E51*I51/1000*'Reporting Year &amp; Inflation Adj.'!$F$9))),"")</f>
        <v/>
      </c>
      <c r="H51" s="804">
        <v>0.19303958588</v>
      </c>
      <c r="I51" s="805">
        <v>0.25433793989000003</v>
      </c>
      <c r="J51" s="806">
        <v>0.24142690509153666</v>
      </c>
      <c r="K51" s="68">
        <v>312120</v>
      </c>
      <c r="L51" s="68" t="s">
        <v>3360</v>
      </c>
      <c r="M51" s="69" t="s">
        <v>440</v>
      </c>
      <c r="N51" s="69" t="s">
        <v>486</v>
      </c>
      <c r="O51" s="70">
        <v>0.21183697184</v>
      </c>
      <c r="P51" s="70">
        <v>6.6190759960000012E-2</v>
      </c>
      <c r="Q51" s="70">
        <v>0.27806699269999996</v>
      </c>
    </row>
    <row r="52" spans="3:17" ht="42.75">
      <c r="C52" s="321" t="s">
        <v>886</v>
      </c>
      <c r="D52" s="322"/>
      <c r="E52" s="783"/>
      <c r="F52" s="323" t="s">
        <v>366</v>
      </c>
      <c r="G52" s="319" t="str">
        <f>IFERROR(IF(E52="","",IF(F52="Direct-from-manufacturer",(E52*H52/1000*'Reporting Year &amp; Inflation Adj.'!$F$9),(E52*I52/1000*'Reporting Year &amp; Inflation Adj.'!$F$9))),"")</f>
        <v/>
      </c>
      <c r="H52" s="804">
        <v>8.5799871680000014E-2</v>
      </c>
      <c r="I52" s="805">
        <v>8.5799871680000014E-2</v>
      </c>
      <c r="J52" s="806">
        <v>0</v>
      </c>
      <c r="K52" s="68">
        <v>444000</v>
      </c>
      <c r="L52" s="68" t="s">
        <v>3361</v>
      </c>
      <c r="M52" s="69" t="s">
        <v>882</v>
      </c>
      <c r="N52" s="69" t="s">
        <v>887</v>
      </c>
      <c r="O52" s="70">
        <v>8.7619890393999991E-2</v>
      </c>
      <c r="P52" s="70">
        <v>0</v>
      </c>
      <c r="Q52" s="70">
        <v>8.7619890393999991E-2</v>
      </c>
    </row>
    <row r="53" spans="3:17" ht="42.75">
      <c r="C53" s="321" t="s">
        <v>1022</v>
      </c>
      <c r="D53" s="322"/>
      <c r="E53" s="783"/>
      <c r="F53" s="323" t="s">
        <v>366</v>
      </c>
      <c r="G53" s="319" t="str">
        <f>IFERROR(IF(E53="","",IF(F53="Direct-from-manufacturer",(E53*H53/1000*'Reporting Year &amp; Inflation Adj.'!$F$9),(E53*I53/1000*'Reporting Year &amp; Inflation Adj.'!$F$9))),"")</f>
        <v/>
      </c>
      <c r="H53" s="804">
        <v>0.18065831239999997</v>
      </c>
      <c r="I53" s="805">
        <v>0.18065831239999997</v>
      </c>
      <c r="J53" s="806">
        <v>0</v>
      </c>
      <c r="K53" s="68">
        <v>561700</v>
      </c>
      <c r="L53" s="68" t="s">
        <v>3362</v>
      </c>
      <c r="M53" s="69" t="s">
        <v>1006</v>
      </c>
      <c r="N53" s="69" t="s">
        <v>1024</v>
      </c>
      <c r="O53" s="70">
        <v>0.21772342498999997</v>
      </c>
      <c r="P53" s="70">
        <v>0</v>
      </c>
      <c r="Q53" s="70">
        <v>0.21772342498999997</v>
      </c>
    </row>
    <row r="54" spans="3:17" ht="28.5">
      <c r="C54" s="321" t="s">
        <v>1014</v>
      </c>
      <c r="D54" s="322"/>
      <c r="E54" s="783"/>
      <c r="F54" s="323" t="s">
        <v>366</v>
      </c>
      <c r="G54" s="319" t="str">
        <f>IFERROR(IF(E54="","",IF(F54="Direct-from-manufacturer",(E54*H54/1000*'Reporting Year &amp; Inflation Adj.'!$F$9),(E54*I54/1000*'Reporting Year &amp; Inflation Adj.'!$F$9))),"")</f>
        <v/>
      </c>
      <c r="H54" s="804">
        <v>0.100123204425</v>
      </c>
      <c r="I54" s="805">
        <v>0.100123204425</v>
      </c>
      <c r="J54" s="806">
        <v>0</v>
      </c>
      <c r="K54" s="68">
        <v>561400</v>
      </c>
      <c r="L54" s="68" t="s">
        <v>3363</v>
      </c>
      <c r="M54" s="69" t="s">
        <v>1006</v>
      </c>
      <c r="N54" s="69" t="s">
        <v>1016</v>
      </c>
      <c r="O54" s="70">
        <v>0.11237605167999995</v>
      </c>
      <c r="P54" s="70">
        <v>0</v>
      </c>
      <c r="Q54" s="70">
        <v>0.11237605167999995</v>
      </c>
    </row>
    <row r="55" spans="3:17" ht="99.75">
      <c r="C55" s="321" t="s">
        <v>922</v>
      </c>
      <c r="D55" s="322"/>
      <c r="E55" s="783"/>
      <c r="F55" s="323" t="s">
        <v>366</v>
      </c>
      <c r="G55" s="319" t="str">
        <f>IFERROR(IF(E55="","",IF(F55="Direct-from-manufacturer",(E55*H55/1000*'Reporting Year &amp; Inflation Adj.'!$F$9),(E55*I55/1000*'Reporting Year &amp; Inflation Adj.'!$F$9))),"")</f>
        <v/>
      </c>
      <c r="H55" s="804">
        <v>9.6461616525000002E-2</v>
      </c>
      <c r="I55" s="805">
        <v>9.6461616525000002E-2</v>
      </c>
      <c r="J55" s="806">
        <v>0</v>
      </c>
      <c r="K55" s="68">
        <v>515200</v>
      </c>
      <c r="L55" s="68" t="s">
        <v>3364</v>
      </c>
      <c r="M55" s="69" t="s">
        <v>904</v>
      </c>
      <c r="N55" s="69" t="s">
        <v>924</v>
      </c>
      <c r="O55" s="70">
        <v>9.711428557E-2</v>
      </c>
      <c r="P55" s="70">
        <v>0</v>
      </c>
      <c r="Q55" s="70">
        <v>9.711428557E-2</v>
      </c>
    </row>
    <row r="56" spans="3:17" ht="57">
      <c r="C56" s="321" t="s">
        <v>777</v>
      </c>
      <c r="D56" s="322"/>
      <c r="E56" s="783"/>
      <c r="F56" s="325"/>
      <c r="G56" s="319" t="str">
        <f>IFERROR(IF(E56="","",IF(F56="Direct-from-manufacturer",(E56*H56/1000*'Reporting Year &amp; Inflation Adj.'!$F$9),(E56*I56/1000*'Reporting Year &amp; Inflation Adj.'!$F$9))),"")</f>
        <v/>
      </c>
      <c r="H56" s="804">
        <v>0.27232037661999997</v>
      </c>
      <c r="I56" s="805">
        <v>0.28456732138000002</v>
      </c>
      <c r="J56" s="806">
        <v>4.5198357642143389E-2</v>
      </c>
      <c r="K56" s="68">
        <v>335991</v>
      </c>
      <c r="L56" s="68" t="s">
        <v>3365</v>
      </c>
      <c r="M56" s="69" t="s">
        <v>440</v>
      </c>
      <c r="N56" s="69" t="s">
        <v>773</v>
      </c>
      <c r="O56" s="70">
        <v>0.34851611674999999</v>
      </c>
      <c r="P56" s="70">
        <v>1.6530725480000001E-2</v>
      </c>
      <c r="Q56" s="70">
        <v>0.36553395382999998</v>
      </c>
    </row>
    <row r="57" spans="3:17" ht="42.75">
      <c r="C57" s="321" t="s">
        <v>530</v>
      </c>
      <c r="D57" s="322"/>
      <c r="E57" s="783"/>
      <c r="F57" s="325"/>
      <c r="G57" s="319" t="str">
        <f>IFERROR(IF(E57="","",IF(F57="Direct-from-manufacturer",(E57*H57/1000*'Reporting Year &amp; Inflation Adj.'!$F$9),(E57*I57/1000*'Reporting Year &amp; Inflation Adj.'!$F$9))),"")</f>
        <v/>
      </c>
      <c r="H57" s="804">
        <v>0.73774467975999991</v>
      </c>
      <c r="I57" s="805">
        <v>0.78021007167999989</v>
      </c>
      <c r="J57" s="806">
        <v>5.4617371560255326E-2</v>
      </c>
      <c r="K57" s="68">
        <v>322130</v>
      </c>
      <c r="L57" s="68" t="s">
        <v>3366</v>
      </c>
      <c r="M57" s="69" t="s">
        <v>440</v>
      </c>
      <c r="N57" s="69" t="s">
        <v>528</v>
      </c>
      <c r="O57" s="70">
        <v>0.79246599688999997</v>
      </c>
      <c r="P57" s="70">
        <v>4.0089732419999996E-2</v>
      </c>
      <c r="Q57" s="70">
        <v>0.83257661122000004</v>
      </c>
    </row>
    <row r="58" spans="3:17" ht="57">
      <c r="C58" s="321" t="s">
        <v>531</v>
      </c>
      <c r="D58" s="322"/>
      <c r="E58" s="783"/>
      <c r="F58" s="325"/>
      <c r="G58" s="319" t="str">
        <f>IFERROR(IF(E58="","",IF(F58="Direct-from-manufacturer",(E58*H58/1000*'Reporting Year &amp; Inflation Adj.'!$F$9),(E58*I58/1000*'Reporting Year &amp; Inflation Adj.'!$F$9))),"")</f>
        <v/>
      </c>
      <c r="H58" s="804">
        <v>0.43172117248000003</v>
      </c>
      <c r="I58" s="805">
        <v>0.46213957934999988</v>
      </c>
      <c r="J58" s="806">
        <v>6.6513782217558534E-2</v>
      </c>
      <c r="K58" s="68">
        <v>322210</v>
      </c>
      <c r="L58" s="68" t="s">
        <v>3367</v>
      </c>
      <c r="M58" s="69" t="s">
        <v>440</v>
      </c>
      <c r="N58" s="69" t="s">
        <v>533</v>
      </c>
      <c r="O58" s="70">
        <v>0.45128454300000004</v>
      </c>
      <c r="P58" s="70">
        <v>2.9942973559999999E-2</v>
      </c>
      <c r="Q58" s="70">
        <v>0.48101976617999997</v>
      </c>
    </row>
    <row r="59" spans="3:17" ht="57">
      <c r="C59" s="321" t="s">
        <v>502</v>
      </c>
      <c r="D59" s="322"/>
      <c r="E59" s="783"/>
      <c r="F59" s="325"/>
      <c r="G59" s="319" t="str">
        <f>IFERROR(IF(E59="","",IF(F59="Direct-from-manufacturer",(E59*H59/1000*'Reporting Year &amp; Inflation Adj.'!$F$9),(E59*I59/1000*'Reporting Year &amp; Inflation Adj.'!$F$9))),"")</f>
        <v/>
      </c>
      <c r="H59" s="804">
        <v>0.20033572662000007</v>
      </c>
      <c r="I59" s="805">
        <v>0.26515311263000002</v>
      </c>
      <c r="J59" s="806">
        <v>0.24263395734589976</v>
      </c>
      <c r="K59" s="68">
        <v>314110</v>
      </c>
      <c r="L59" s="68" t="s">
        <v>3368</v>
      </c>
      <c r="M59" s="69" t="s">
        <v>440</v>
      </c>
      <c r="N59" s="69" t="s">
        <v>504</v>
      </c>
      <c r="O59" s="70">
        <v>0.22507097126</v>
      </c>
      <c r="P59" s="70">
        <v>6.9038875E-2</v>
      </c>
      <c r="Q59" s="70">
        <v>0.29475249342999998</v>
      </c>
    </row>
    <row r="60" spans="3:17" ht="42.75">
      <c r="C60" s="321" t="s">
        <v>634</v>
      </c>
      <c r="D60" s="322"/>
      <c r="E60" s="783"/>
      <c r="F60" s="325"/>
      <c r="G60" s="319" t="str">
        <f>IFERROR(IF(E60="","",IF(F60="Direct-from-manufacturer",(E60*H60/1000*'Reporting Year &amp; Inflation Adj.'!$F$9),(E60*I60/1000*'Reporting Year &amp; Inflation Adj.'!$F$9))),"")</f>
        <v/>
      </c>
      <c r="H60" s="804">
        <v>0.310427625205</v>
      </c>
      <c r="I60" s="805">
        <v>0.3302662597499999</v>
      </c>
      <c r="J60" s="806">
        <v>6.1404985860048944E-2</v>
      </c>
      <c r="K60" s="68">
        <v>331510</v>
      </c>
      <c r="L60" s="68" t="s">
        <v>3369</v>
      </c>
      <c r="M60" s="69" t="s">
        <v>440</v>
      </c>
      <c r="N60" s="69" t="s">
        <v>636</v>
      </c>
      <c r="O60" s="70">
        <v>0.35048849429999995</v>
      </c>
      <c r="P60" s="70">
        <v>2.0893894230999997E-2</v>
      </c>
      <c r="Q60" s="70">
        <v>0.37179166199999997</v>
      </c>
    </row>
    <row r="61" spans="3:17" ht="28.5">
      <c r="C61" s="321" t="s">
        <v>348</v>
      </c>
      <c r="D61" s="322"/>
      <c r="E61" s="783"/>
      <c r="F61" s="325"/>
      <c r="G61" s="319" t="str">
        <f>IFERROR(IF(E61="","",IF(F61="Direct-from-manufacturer",(E61*H61/1000*'Reporting Year &amp; Inflation Adj.'!$F$9),(E61*I61/1000*'Reporting Year &amp; Inflation Adj.'!$F$9))),"")</f>
        <v/>
      </c>
      <c r="H61" s="804">
        <v>2.2206480048699997</v>
      </c>
      <c r="I61" s="805">
        <v>2.2591705531100001</v>
      </c>
      <c r="J61" s="806">
        <v>1.7421403178179463E-2</v>
      </c>
      <c r="K61" s="68" t="s">
        <v>349</v>
      </c>
      <c r="L61" s="68" t="s">
        <v>3370</v>
      </c>
      <c r="M61" s="69" t="s">
        <v>332</v>
      </c>
      <c r="N61" s="69" t="s">
        <v>350</v>
      </c>
      <c r="O61" s="70">
        <v>2.9839370134299994</v>
      </c>
      <c r="P61" s="70">
        <v>4.5576949279000002E-2</v>
      </c>
      <c r="Q61" s="70">
        <v>3.0268825067599998</v>
      </c>
    </row>
    <row r="62" spans="3:17" ht="42.75">
      <c r="C62" s="321" t="s">
        <v>602</v>
      </c>
      <c r="D62" s="322"/>
      <c r="E62" s="783"/>
      <c r="F62" s="325"/>
      <c r="G62" s="319" t="str">
        <f>IFERROR(IF(E62="","",IF(F62="Direct-from-manufacturer",(E62*H62/1000*'Reporting Year &amp; Inflation Adj.'!$F$9),(E62*I62/1000*'Reporting Year &amp; Inflation Adj.'!$F$9))),"")</f>
        <v/>
      </c>
      <c r="H62" s="804">
        <v>2.6761653873649993</v>
      </c>
      <c r="I62" s="805">
        <v>2.7340947360099999</v>
      </c>
      <c r="J62" s="806">
        <v>2.3842081639105863E-2</v>
      </c>
      <c r="K62" s="68">
        <v>327310</v>
      </c>
      <c r="L62" s="68" t="s">
        <v>3371</v>
      </c>
      <c r="M62" s="69" t="s">
        <v>440</v>
      </c>
      <c r="N62" s="69" t="s">
        <v>604</v>
      </c>
      <c r="O62" s="70">
        <v>3.8515269656500002</v>
      </c>
      <c r="P62" s="70">
        <v>7.9053461550000009E-2</v>
      </c>
      <c r="Q62" s="70">
        <v>3.9324714299999997</v>
      </c>
    </row>
    <row r="63" spans="3:17" ht="42.75">
      <c r="C63" s="321" t="s">
        <v>460</v>
      </c>
      <c r="D63" s="322"/>
      <c r="E63" s="783"/>
      <c r="F63" s="325"/>
      <c r="G63" s="319" t="str">
        <f>IFERROR(IF(E63="","",IF(F63="Direct-from-manufacturer",(E63*H63/1000*'Reporting Year &amp; Inflation Adj.'!$F$9),(E63*I63/1000*'Reporting Year &amp; Inflation Adj.'!$F$9))),"")</f>
        <v/>
      </c>
      <c r="H63" s="804">
        <v>0.96546482090000008</v>
      </c>
      <c r="I63" s="805">
        <v>1.0033215049499999</v>
      </c>
      <c r="J63" s="806">
        <v>3.4752977916822039E-2</v>
      </c>
      <c r="K63" s="68">
        <v>311513</v>
      </c>
      <c r="L63" s="68" t="s">
        <v>3372</v>
      </c>
      <c r="M63" s="69" t="s">
        <v>440</v>
      </c>
      <c r="N63" s="69" t="s">
        <v>459</v>
      </c>
      <c r="O63" s="70">
        <v>0.97556053530999987</v>
      </c>
      <c r="P63" s="70">
        <v>3.376815842E-2</v>
      </c>
      <c r="Q63" s="70">
        <v>1.0095657952499999</v>
      </c>
    </row>
    <row r="64" spans="3:17" ht="75">
      <c r="C64" s="321" t="s">
        <v>580</v>
      </c>
      <c r="D64" s="322"/>
      <c r="E64" s="783"/>
      <c r="F64" s="325"/>
      <c r="G64" s="319" t="str">
        <f>IFERROR(IF(E64="","",IF(F64="Direct-from-manufacturer",(E64*H64/1000*'Reporting Year &amp; Inflation Adj.'!$F$9),(E64*I64/1000*'Reporting Year &amp; Inflation Adj.'!$F$9))),"")</f>
        <v/>
      </c>
      <c r="H64" s="804">
        <v>0.41450977410000001</v>
      </c>
      <c r="I64" s="805">
        <v>0.44189436029999996</v>
      </c>
      <c r="J64" s="806">
        <v>6.1986349432937099E-2</v>
      </c>
      <c r="K64" s="68" t="s">
        <v>581</v>
      </c>
      <c r="L64" s="68" t="s">
        <v>3373</v>
      </c>
      <c r="M64" s="69" t="s">
        <v>440</v>
      </c>
      <c r="N64" s="69" t="s">
        <v>579</v>
      </c>
      <c r="O64" s="70">
        <v>0.47456737944999994</v>
      </c>
      <c r="P64" s="70">
        <v>2.8659220780000005E-2</v>
      </c>
      <c r="Q64" s="70">
        <v>0.50341828476999995</v>
      </c>
    </row>
    <row r="65" spans="3:17" ht="42.75">
      <c r="C65" s="321" t="s">
        <v>1068</v>
      </c>
      <c r="D65" s="322"/>
      <c r="E65" s="783"/>
      <c r="F65" s="323" t="s">
        <v>366</v>
      </c>
      <c r="G65" s="319" t="str">
        <f>IFERROR(IF(E65="","",IF(F65="Direct-from-manufacturer",(E65*H65/1000*'Reporting Year &amp; Inflation Adj.'!$F$9),(E65*I65/1000*'Reporting Year &amp; Inflation Adj.'!$F$9))),"")</f>
        <v/>
      </c>
      <c r="H65" s="804">
        <v>0.18596061630000002</v>
      </c>
      <c r="I65" s="805">
        <v>0.18596061630000002</v>
      </c>
      <c r="J65" s="806">
        <v>0</v>
      </c>
      <c r="K65" s="68">
        <v>624400</v>
      </c>
      <c r="L65" s="68" t="s">
        <v>3374</v>
      </c>
      <c r="M65" s="69" t="s">
        <v>1038</v>
      </c>
      <c r="N65" s="69" t="s">
        <v>1069</v>
      </c>
      <c r="O65" s="70">
        <v>0.21935017194</v>
      </c>
      <c r="P65" s="70">
        <v>0</v>
      </c>
      <c r="Q65" s="70">
        <v>0.21935017194</v>
      </c>
    </row>
    <row r="66" spans="3:17" ht="156.75">
      <c r="C66" s="321" t="s">
        <v>1120</v>
      </c>
      <c r="D66" s="322"/>
      <c r="E66" s="783"/>
      <c r="F66" s="323" t="s">
        <v>366</v>
      </c>
      <c r="G66" s="319" t="str">
        <f>IFERROR(IF(E66="","",IF(F66="Direct-from-manufacturer",(E66*H66/1000*'Reporting Year &amp; Inflation Adj.'!$F$9),(E66*I66/1000*'Reporting Year &amp; Inflation Adj.'!$F$9))),"")</f>
        <v/>
      </c>
      <c r="H66" s="804">
        <v>0.10586041694999999</v>
      </c>
      <c r="I66" s="805">
        <v>0.10586041694999999</v>
      </c>
      <c r="J66" s="806">
        <v>0</v>
      </c>
      <c r="K66" s="68" t="s">
        <v>1121</v>
      </c>
      <c r="L66" s="68" t="s">
        <v>3375</v>
      </c>
      <c r="M66" s="69" t="s">
        <v>1098</v>
      </c>
      <c r="N66" s="69" t="s">
        <v>1122</v>
      </c>
      <c r="O66" s="70">
        <v>0.12995198104000003</v>
      </c>
      <c r="P66" s="70">
        <v>0</v>
      </c>
      <c r="Q66" s="70">
        <v>0.12995198104000003</v>
      </c>
    </row>
    <row r="67" spans="3:17" ht="42.75">
      <c r="C67" s="321" t="s">
        <v>596</v>
      </c>
      <c r="D67" s="322"/>
      <c r="E67" s="783"/>
      <c r="F67" s="325"/>
      <c r="G67" s="319" t="str">
        <f>IFERROR(IF(E67="","",IF(F67="Direct-from-manufacturer",(E67*H67/1000*'Reporting Year &amp; Inflation Adj.'!$F$9),(E67*I67/1000*'Reporting Year &amp; Inflation Adj.'!$F$9))),"")</f>
        <v/>
      </c>
      <c r="H67" s="804">
        <v>0.36092163839000002</v>
      </c>
      <c r="I67" s="805">
        <v>0.40940086375499996</v>
      </c>
      <c r="J67" s="806">
        <v>0.11787726850981911</v>
      </c>
      <c r="K67" s="68">
        <v>327100</v>
      </c>
      <c r="L67" s="68" t="s">
        <v>3376</v>
      </c>
      <c r="M67" s="69" t="s">
        <v>440</v>
      </c>
      <c r="N67" s="69" t="s">
        <v>598</v>
      </c>
      <c r="O67" s="70">
        <v>0.40088700593999999</v>
      </c>
      <c r="P67" s="70">
        <v>5.2350679859999985E-2</v>
      </c>
      <c r="Q67" s="70">
        <v>0.45262988362000001</v>
      </c>
    </row>
    <row r="68" spans="3:17" ht="142.5">
      <c r="C68" s="321" t="s">
        <v>509</v>
      </c>
      <c r="D68" s="322"/>
      <c r="E68" s="783"/>
      <c r="F68" s="325"/>
      <c r="G68" s="319" t="str">
        <f>IFERROR(IF(E68="","",IF(F68="Direct-from-manufacturer",(E68*H68/1000*'Reporting Year &amp; Inflation Adj.'!$F$9),(E68*I68/1000*'Reporting Year &amp; Inflation Adj.'!$F$9))),"")</f>
        <v/>
      </c>
      <c r="H68" s="804">
        <v>5.1562989220000008E-2</v>
      </c>
      <c r="I68" s="805">
        <v>0.10382230684000002</v>
      </c>
      <c r="J68" s="806">
        <v>0.50337952537059982</v>
      </c>
      <c r="K68" s="68">
        <v>315000</v>
      </c>
      <c r="L68" s="68" t="s">
        <v>3377</v>
      </c>
      <c r="M68" s="69" t="s">
        <v>440</v>
      </c>
      <c r="N68" s="69" t="s">
        <v>511</v>
      </c>
      <c r="O68" s="70">
        <v>6.0490226460000011E-2</v>
      </c>
      <c r="P68" s="70">
        <v>6.0878879900000009E-2</v>
      </c>
      <c r="Q68" s="70">
        <v>0.12145351812000002</v>
      </c>
    </row>
    <row r="69" spans="3:17" ht="30">
      <c r="C69" s="321" t="s">
        <v>895</v>
      </c>
      <c r="D69" s="322"/>
      <c r="E69" s="783"/>
      <c r="F69" s="323" t="s">
        <v>366</v>
      </c>
      <c r="G69" s="319" t="str">
        <f>IFERROR(IF(E69="","",IF(F69="Direct-from-manufacturer",(E69*H69/1000*'Reporting Year &amp; Inflation Adj.'!$F$9),(E69*I69/1000*'Reporting Year &amp; Inflation Adj.'!$F$9))),"")</f>
        <v/>
      </c>
      <c r="H69" s="804">
        <v>0.12976641287000001</v>
      </c>
      <c r="I69" s="805">
        <v>0.12976641287000001</v>
      </c>
      <c r="J69" s="806">
        <v>0</v>
      </c>
      <c r="K69" s="68">
        <v>448000</v>
      </c>
      <c r="L69" s="68" t="s">
        <v>3378</v>
      </c>
      <c r="M69" s="69" t="s">
        <v>882</v>
      </c>
      <c r="N69" s="69" t="s">
        <v>896</v>
      </c>
      <c r="O69" s="70">
        <v>0.13919855871999998</v>
      </c>
      <c r="P69" s="70">
        <v>0</v>
      </c>
      <c r="Q69" s="70">
        <v>0.13919855871999998</v>
      </c>
    </row>
    <row r="70" spans="3:17" ht="71.25">
      <c r="C70" s="321" t="s">
        <v>19</v>
      </c>
      <c r="D70" s="322"/>
      <c r="E70" s="783"/>
      <c r="F70" s="325"/>
      <c r="G70" s="319" t="str">
        <f>IFERROR(IF(E70="","",IF(F70="Direct-from-manufacturer",(E70*H70/1000*'Reporting Year &amp; Inflation Adj.'!$F$9),(E70*I70/1000*'Reporting Year &amp; Inflation Adj.'!$F$9))),"")</f>
        <v/>
      </c>
      <c r="H70" s="804">
        <v>0.76551220193000002</v>
      </c>
      <c r="I70" s="805">
        <v>0.86475302702000023</v>
      </c>
      <c r="J70" s="806">
        <v>0.11413296934630716</v>
      </c>
      <c r="K70" s="68">
        <v>212100</v>
      </c>
      <c r="L70" s="68" t="s">
        <v>3379</v>
      </c>
      <c r="M70" s="69" t="s">
        <v>371</v>
      </c>
      <c r="N70" s="69" t="s">
        <v>374</v>
      </c>
      <c r="O70" s="70">
        <v>0.78505476366400007</v>
      </c>
      <c r="P70" s="70">
        <v>9.4634791216000005E-2</v>
      </c>
      <c r="Q70" s="70">
        <v>0.88015242420999995</v>
      </c>
    </row>
    <row r="71" spans="3:17" ht="57">
      <c r="C71" s="321" t="s">
        <v>480</v>
      </c>
      <c r="D71" s="322"/>
      <c r="E71" s="783"/>
      <c r="F71" s="325"/>
      <c r="G71" s="319" t="str">
        <f>IFERROR(IF(E71="","",IF(F71="Direct-from-manufacturer",(E71*H71/1000*'Reporting Year &amp; Inflation Adj.'!$F$9),(E71*I71/1000*'Reporting Year &amp; Inflation Adj.'!$F$9))),"")</f>
        <v/>
      </c>
      <c r="H71" s="804">
        <v>0.23572309742</v>
      </c>
      <c r="I71" s="805">
        <v>0.2666219058</v>
      </c>
      <c r="J71" s="806">
        <v>0.11680183884950686</v>
      </c>
      <c r="K71" s="68">
        <v>311920</v>
      </c>
      <c r="L71" s="68" t="s">
        <v>3380</v>
      </c>
      <c r="M71" s="69" t="s">
        <v>440</v>
      </c>
      <c r="N71" s="69" t="s">
        <v>479</v>
      </c>
      <c r="O71" s="70">
        <v>0.31765898099000001</v>
      </c>
      <c r="P71" s="70">
        <v>4.0556922019999997E-2</v>
      </c>
      <c r="Q71" s="70">
        <v>0.35804420259000003</v>
      </c>
    </row>
    <row r="72" spans="3:17" ht="199.5">
      <c r="C72" s="321" t="s">
        <v>1032</v>
      </c>
      <c r="D72" s="322"/>
      <c r="E72" s="783"/>
      <c r="F72" s="323" t="s">
        <v>366</v>
      </c>
      <c r="G72" s="319" t="str">
        <f>IFERROR(IF(E72="","",IF(F72="Direct-from-manufacturer",(E72*H72/1000*'Reporting Year &amp; Inflation Adj.'!$F$9),(E72*I72/1000*'Reporting Year &amp; Inflation Adj.'!$F$9))),"")</f>
        <v/>
      </c>
      <c r="H72" s="804">
        <v>0.12650926208000002</v>
      </c>
      <c r="I72" s="805">
        <v>0.12650926208000002</v>
      </c>
      <c r="J72" s="806">
        <v>0</v>
      </c>
      <c r="K72" s="68" t="s">
        <v>1033</v>
      </c>
      <c r="L72" s="68" t="s">
        <v>3381</v>
      </c>
      <c r="M72" s="69" t="s">
        <v>1030</v>
      </c>
      <c r="N72" s="69">
        <v>0</v>
      </c>
      <c r="O72" s="70">
        <v>0.14200823399999996</v>
      </c>
      <c r="P72" s="70">
        <v>0</v>
      </c>
      <c r="Q72" s="70">
        <v>0.14200823399999996</v>
      </c>
    </row>
    <row r="73" spans="3:17" ht="409.5">
      <c r="C73" s="321" t="s">
        <v>3312</v>
      </c>
      <c r="D73" s="322"/>
      <c r="E73" s="783"/>
      <c r="F73" s="323" t="s">
        <v>366</v>
      </c>
      <c r="G73" s="319" t="str">
        <f>IFERROR(IF(E73="","",IF(F73="Direct-from-manufacturer",(E73*H73/1000*'Reporting Year &amp; Inflation Adj.'!$F$9),(E73*I73/1000*'Reporting Year &amp; Inflation Adj.'!$F$9))),"")</f>
        <v/>
      </c>
      <c r="H73" s="804">
        <v>0.19704277615000007</v>
      </c>
      <c r="I73" s="805">
        <v>0.19704277615000007</v>
      </c>
      <c r="J73" s="806">
        <v>0</v>
      </c>
      <c r="K73" s="68" t="s">
        <v>3714</v>
      </c>
      <c r="L73" s="68" t="s">
        <v>3382</v>
      </c>
      <c r="M73" s="69" t="s">
        <v>397</v>
      </c>
      <c r="N73" s="69" t="s">
        <v>403</v>
      </c>
      <c r="O73" s="70">
        <v>0.22555460382</v>
      </c>
      <c r="P73" s="70">
        <v>0</v>
      </c>
      <c r="Q73" s="70">
        <v>0.22555460382</v>
      </c>
    </row>
    <row r="74" spans="3:17" ht="71.25">
      <c r="C74" s="321" t="s">
        <v>974</v>
      </c>
      <c r="D74" s="322"/>
      <c r="E74" s="783"/>
      <c r="F74" s="323" t="s">
        <v>366</v>
      </c>
      <c r="G74" s="319" t="str">
        <f>IFERROR(IF(E74="","",IF(F74="Direct-from-manufacturer",(E74*H74/1000*'Reporting Year &amp; Inflation Adj.'!$F$9),(E74*I74/1000*'Reporting Year &amp; Inflation Adj.'!$F$9))),"")</f>
        <v/>
      </c>
      <c r="H74" s="804">
        <v>9.9342342769999981E-2</v>
      </c>
      <c r="I74" s="805">
        <v>9.9342342769999981E-2</v>
      </c>
      <c r="J74" s="806">
        <v>0</v>
      </c>
      <c r="K74" s="68">
        <v>532400</v>
      </c>
      <c r="L74" s="68" t="s">
        <v>3383</v>
      </c>
      <c r="M74" s="69" t="s">
        <v>965</v>
      </c>
      <c r="N74" s="69" t="s">
        <v>975</v>
      </c>
      <c r="O74" s="70">
        <v>0.10771224754999999</v>
      </c>
      <c r="P74" s="70">
        <v>0</v>
      </c>
      <c r="Q74" s="70">
        <v>0.10771224754999999</v>
      </c>
    </row>
    <row r="75" spans="3:17" ht="99.75">
      <c r="C75" s="321" t="s">
        <v>1103</v>
      </c>
      <c r="D75" s="322"/>
      <c r="E75" s="783"/>
      <c r="F75" s="323" t="s">
        <v>366</v>
      </c>
      <c r="G75" s="319" t="str">
        <f>IFERROR(IF(E75="","",IF(F75="Direct-from-manufacturer",(E75*H75/1000*'Reporting Year &amp; Inflation Adj.'!$F$9),(E75*I75/1000*'Reporting Year &amp; Inflation Adj.'!$F$9))),"")</f>
        <v/>
      </c>
      <c r="H75" s="804">
        <v>0.11622462428000001</v>
      </c>
      <c r="I75" s="805">
        <v>0.11622462428000001</v>
      </c>
      <c r="J75" s="806">
        <v>0</v>
      </c>
      <c r="K75" s="68">
        <v>811300</v>
      </c>
      <c r="L75" s="68" t="s">
        <v>3384</v>
      </c>
      <c r="M75" s="69" t="s">
        <v>1098</v>
      </c>
      <c r="N75" s="69" t="s">
        <v>1104</v>
      </c>
      <c r="O75" s="70">
        <v>0.13932665493999999</v>
      </c>
      <c r="P75" s="70">
        <v>0</v>
      </c>
      <c r="Q75" s="70">
        <v>0.13932665493999999</v>
      </c>
    </row>
    <row r="76" spans="3:17" ht="57">
      <c r="C76" s="321" t="s">
        <v>775</v>
      </c>
      <c r="D76" s="322"/>
      <c r="E76" s="783"/>
      <c r="F76" s="325"/>
      <c r="G76" s="319" t="str">
        <f>IFERROR(IF(E76="","",IF(F76="Direct-from-manufacturer",(E76*H76/1000*'Reporting Year &amp; Inflation Adj.'!$F$9),(E76*I76/1000*'Reporting Year &amp; Inflation Adj.'!$F$9))),"")</f>
        <v/>
      </c>
      <c r="H76" s="804">
        <v>0.208247783455</v>
      </c>
      <c r="I76" s="805">
        <v>0.22291025427500002</v>
      </c>
      <c r="J76" s="806">
        <v>6.7111462878438735E-2</v>
      </c>
      <c r="K76" s="68">
        <v>335920</v>
      </c>
      <c r="L76" s="68" t="s">
        <v>3385</v>
      </c>
      <c r="M76" s="69" t="s">
        <v>440</v>
      </c>
      <c r="N76" s="69" t="s">
        <v>773</v>
      </c>
      <c r="O76" s="70">
        <v>0.22040170273000001</v>
      </c>
      <c r="P76" s="70">
        <v>1.6062350820000001E-2</v>
      </c>
      <c r="Q76" s="70">
        <v>0.23637851254000003</v>
      </c>
    </row>
    <row r="77" spans="3:17" ht="57">
      <c r="C77" s="321" t="s">
        <v>733</v>
      </c>
      <c r="D77" s="322"/>
      <c r="E77" s="783"/>
      <c r="F77" s="325"/>
      <c r="G77" s="319" t="str">
        <f>IFERROR(IF(E77="","",IF(F77="Direct-from-manufacturer",(E77*H77/1000*'Reporting Year &amp; Inflation Adj.'!$F$9),(E77*I77/1000*'Reporting Year &amp; Inflation Adj.'!$F$9))),"")</f>
        <v/>
      </c>
      <c r="H77" s="804">
        <v>3.2299684854999997E-2</v>
      </c>
      <c r="I77" s="805">
        <v>6.8270305710000007E-2</v>
      </c>
      <c r="J77" s="806">
        <v>0.52536962354258643</v>
      </c>
      <c r="K77" s="68">
        <v>334290</v>
      </c>
      <c r="L77" s="68" t="s">
        <v>3386</v>
      </c>
      <c r="M77" s="69" t="s">
        <v>440</v>
      </c>
      <c r="N77" s="69" t="s">
        <v>731</v>
      </c>
      <c r="O77" s="70">
        <v>3.8543534150000003E-2</v>
      </c>
      <c r="P77" s="70">
        <v>4.2353561619999994E-2</v>
      </c>
      <c r="Q77" s="70">
        <v>8.0890519870000011E-2</v>
      </c>
    </row>
    <row r="78" spans="3:17" ht="199.5">
      <c r="C78" s="321" t="s">
        <v>1065</v>
      </c>
      <c r="D78" s="322"/>
      <c r="E78" s="783"/>
      <c r="F78" s="323" t="s">
        <v>366</v>
      </c>
      <c r="G78" s="319" t="str">
        <f>IFERROR(IF(E78="","",IF(F78="Direct-from-manufacturer",(E78*H78/1000*'Reporting Year &amp; Inflation Adj.'!$F$9),(E78*I78/1000*'Reporting Year &amp; Inflation Adj.'!$F$9))),"")</f>
        <v/>
      </c>
      <c r="H78" s="804">
        <v>0.194715161365</v>
      </c>
      <c r="I78" s="805">
        <v>0.194715161365</v>
      </c>
      <c r="J78" s="806">
        <v>0</v>
      </c>
      <c r="K78" s="68" t="s">
        <v>1066</v>
      </c>
      <c r="L78" s="68" t="s">
        <v>3387</v>
      </c>
      <c r="M78" s="69" t="s">
        <v>1038</v>
      </c>
      <c r="N78" s="69" t="s">
        <v>1067</v>
      </c>
      <c r="O78" s="70">
        <v>0.22164653457</v>
      </c>
      <c r="P78" s="70">
        <v>0</v>
      </c>
      <c r="Q78" s="70">
        <v>0.22164653457</v>
      </c>
    </row>
    <row r="79" spans="3:17" ht="213.75">
      <c r="C79" s="321" t="s">
        <v>1003</v>
      </c>
      <c r="D79" s="322"/>
      <c r="E79" s="783"/>
      <c r="F79" s="323" t="s">
        <v>366</v>
      </c>
      <c r="G79" s="319" t="str">
        <f>IFERROR(IF(E79="","",IF(F79="Direct-from-manufacturer",(E79*H79/1000*'Reporting Year &amp; Inflation Adj.'!$F$9),(E79*I79/1000*'Reporting Year &amp; Inflation Adj.'!$F$9))),"")</f>
        <v/>
      </c>
      <c r="H79" s="804">
        <v>7.6042691770000004E-2</v>
      </c>
      <c r="I79" s="805">
        <v>7.6042691770000004E-2</v>
      </c>
      <c r="J79" s="806">
        <v>0</v>
      </c>
      <c r="K79" s="68">
        <v>550000</v>
      </c>
      <c r="L79" s="68" t="s">
        <v>3388</v>
      </c>
      <c r="M79" s="69" t="s">
        <v>3721</v>
      </c>
      <c r="N79" s="69" t="s">
        <v>1653</v>
      </c>
      <c r="O79" s="70">
        <v>8.489912249000002E-2</v>
      </c>
      <c r="P79" s="70">
        <v>0</v>
      </c>
      <c r="Q79" s="70">
        <v>8.489912249000002E-2</v>
      </c>
    </row>
    <row r="80" spans="3:17" ht="28.5">
      <c r="C80" s="321" t="s">
        <v>551</v>
      </c>
      <c r="D80" s="322"/>
      <c r="E80" s="783"/>
      <c r="F80" s="325"/>
      <c r="G80" s="319" t="str">
        <f>IFERROR(IF(E80="","",IF(F80="Direct-from-manufacturer",(E80*H80/1000*'Reporting Year &amp; Inflation Adj.'!$F$9),(E80*I80/1000*'Reporting Year &amp; Inflation Adj.'!$F$9))),"")</f>
        <v/>
      </c>
      <c r="H80" s="804">
        <v>0.9833318000850001</v>
      </c>
      <c r="I80" s="805">
        <v>1.0303873161899999</v>
      </c>
      <c r="J80" s="806">
        <v>4.5456067406951031E-2</v>
      </c>
      <c r="K80" s="68">
        <v>325120</v>
      </c>
      <c r="L80" s="68" t="s">
        <v>3389</v>
      </c>
      <c r="M80" s="69" t="s">
        <v>440</v>
      </c>
      <c r="N80" s="69" t="s">
        <v>550</v>
      </c>
      <c r="O80" s="70">
        <v>1.1809566171000001</v>
      </c>
      <c r="P80" s="70">
        <v>4.8557268860000002E-2</v>
      </c>
      <c r="Q80" s="70">
        <v>1.22790201006</v>
      </c>
    </row>
    <row r="81" spans="3:17" ht="57">
      <c r="C81" s="321" t="s">
        <v>727</v>
      </c>
      <c r="D81" s="322"/>
      <c r="E81" s="783"/>
      <c r="F81" s="325"/>
      <c r="G81" s="319" t="str">
        <f>IFERROR(IF(E81="","",IF(F81="Direct-from-manufacturer",(E81*H81/1000*'Reporting Year &amp; Inflation Adj.'!$F$9),(E81*I81/1000*'Reporting Year &amp; Inflation Adj.'!$F$9))),"")</f>
        <v/>
      </c>
      <c r="H81" s="804">
        <v>3.9150613745E-2</v>
      </c>
      <c r="I81" s="805">
        <v>6.9764233425000016E-2</v>
      </c>
      <c r="J81" s="806">
        <v>0.43884205640864882</v>
      </c>
      <c r="K81" s="68">
        <v>334112</v>
      </c>
      <c r="L81" s="68" t="s">
        <v>3390</v>
      </c>
      <c r="M81" s="69" t="s">
        <v>440</v>
      </c>
      <c r="N81" s="69" t="s">
        <v>726</v>
      </c>
      <c r="O81" s="70">
        <v>4.0468940490999999E-2</v>
      </c>
      <c r="P81" s="70">
        <v>3.1449022940000002E-2</v>
      </c>
      <c r="Q81" s="70">
        <v>7.2032959430000001E-2</v>
      </c>
    </row>
    <row r="82" spans="3:17" ht="71.25">
      <c r="C82" s="321" t="s">
        <v>995</v>
      </c>
      <c r="D82" s="322"/>
      <c r="E82" s="783"/>
      <c r="F82" s="323" t="s">
        <v>366</v>
      </c>
      <c r="G82" s="319" t="str">
        <f>IFERROR(IF(E82="","",IF(F82="Direct-from-manufacturer",(E82*H82/1000*'Reporting Year &amp; Inflation Adj.'!$F$9),(E82*I82/1000*'Reporting Year &amp; Inflation Adj.'!$F$9))),"")</f>
        <v/>
      </c>
      <c r="H82" s="804">
        <v>8.841870998000001E-2</v>
      </c>
      <c r="I82" s="805">
        <v>8.841870998000001E-2</v>
      </c>
      <c r="J82" s="806">
        <v>0</v>
      </c>
      <c r="K82" s="68">
        <v>541512</v>
      </c>
      <c r="L82" s="68" t="s">
        <v>3391</v>
      </c>
      <c r="M82" s="69" t="s">
        <v>981</v>
      </c>
      <c r="N82" s="69" t="s">
        <v>994</v>
      </c>
      <c r="O82" s="70">
        <v>9.0329390940000004E-2</v>
      </c>
      <c r="P82" s="70">
        <v>0</v>
      </c>
      <c r="Q82" s="70">
        <v>9.0329390940000004E-2</v>
      </c>
    </row>
    <row r="83" spans="3:17" ht="171">
      <c r="C83" s="321" t="s">
        <v>728</v>
      </c>
      <c r="D83" s="322"/>
      <c r="E83" s="783"/>
      <c r="F83" s="325"/>
      <c r="G83" s="319" t="str">
        <f>IFERROR(IF(E83="","",IF(F83="Direct-from-manufacturer",(E83*H83/1000*'Reporting Year &amp; Inflation Adj.'!$F$9),(E83*I83/1000*'Reporting Year &amp; Inflation Adj.'!$F$9))),"")</f>
        <v/>
      </c>
      <c r="H83" s="804">
        <v>0.10622854558</v>
      </c>
      <c r="I83" s="805">
        <v>0.13153315977999999</v>
      </c>
      <c r="J83" s="806">
        <v>0.19320480149268107</v>
      </c>
      <c r="K83" s="68">
        <v>334118</v>
      </c>
      <c r="L83" s="68" t="s">
        <v>3392</v>
      </c>
      <c r="M83" s="69" t="s">
        <v>440</v>
      </c>
      <c r="N83" s="69" t="s">
        <v>726</v>
      </c>
      <c r="O83" s="70">
        <v>0.11668957495</v>
      </c>
      <c r="P83" s="70">
        <v>2.7219157850000002E-2</v>
      </c>
      <c r="Q83" s="70">
        <v>0.14443019592</v>
      </c>
    </row>
    <row r="84" spans="3:17" ht="185.25">
      <c r="C84" s="321" t="s">
        <v>724</v>
      </c>
      <c r="D84" s="322"/>
      <c r="E84" s="783"/>
      <c r="F84" s="325"/>
      <c r="G84" s="319" t="str">
        <f>IFERROR(IF(E84="","",IF(F84="Direct-from-manufacturer",(E84*H84/1000*'Reporting Year &amp; Inflation Adj.'!$F$9),(E84*I84/1000*'Reporting Year &amp; Inflation Adj.'!$F$9))),"")</f>
        <v/>
      </c>
      <c r="H84" s="804">
        <v>2.8332989204999999E-2</v>
      </c>
      <c r="I84" s="805">
        <v>5.5424930055000002E-2</v>
      </c>
      <c r="J84" s="806">
        <v>0.48909368831137623</v>
      </c>
      <c r="K84" s="68">
        <v>334111</v>
      </c>
      <c r="L84" s="68" t="s">
        <v>3393</v>
      </c>
      <c r="M84" s="69" t="s">
        <v>440</v>
      </c>
      <c r="N84" s="69" t="s">
        <v>726</v>
      </c>
      <c r="O84" s="70">
        <v>3.0197229200000002E-2</v>
      </c>
      <c r="P84" s="70">
        <v>2.8751692029999998E-2</v>
      </c>
      <c r="Q84" s="70">
        <v>5.8929429019999986E-2</v>
      </c>
    </row>
    <row r="85" spans="3:17" ht="42.75">
      <c r="C85" s="321" t="s">
        <v>606</v>
      </c>
      <c r="D85" s="322"/>
      <c r="E85" s="783"/>
      <c r="F85" s="325"/>
      <c r="G85" s="319" t="str">
        <f>IFERROR(IF(E85="","",IF(F85="Direct-from-manufacturer",(E85*H85/1000*'Reporting Year &amp; Inflation Adj.'!$F$9),(E85*I85/1000*'Reporting Year &amp; Inflation Adj.'!$F$9))),"")</f>
        <v/>
      </c>
      <c r="H85" s="804">
        <v>0.19376598209000001</v>
      </c>
      <c r="I85" s="805">
        <v>0.24661203225500006</v>
      </c>
      <c r="J85" s="806">
        <v>0.21106598830173118</v>
      </c>
      <c r="K85" s="68">
        <v>327330</v>
      </c>
      <c r="L85" s="68" t="s">
        <v>3394</v>
      </c>
      <c r="M85" s="69" t="s">
        <v>440</v>
      </c>
      <c r="N85" s="69" t="s">
        <v>604</v>
      </c>
      <c r="O85" s="70">
        <v>0.26495564166000002</v>
      </c>
      <c r="P85" s="70">
        <v>6.3802448270000006E-2</v>
      </c>
      <c r="Q85" s="70">
        <v>0.32916277872999999</v>
      </c>
    </row>
    <row r="86" spans="3:17" ht="57">
      <c r="C86" s="321" t="s">
        <v>683</v>
      </c>
      <c r="D86" s="322"/>
      <c r="E86" s="783"/>
      <c r="F86" s="325"/>
      <c r="G86" s="319" t="str">
        <f>IFERROR(IF(E86="","",IF(F86="Direct-from-manufacturer",(E86*H86/1000*'Reporting Year &amp; Inflation Adj.'!$F$9),(E86*I86/1000*'Reporting Year &amp; Inflation Adj.'!$F$9))),"")</f>
        <v/>
      </c>
      <c r="H86" s="804">
        <v>0.16265907311</v>
      </c>
      <c r="I86" s="805">
        <v>0.18649170702499998</v>
      </c>
      <c r="J86" s="806">
        <v>0.12337693381677066</v>
      </c>
      <c r="K86" s="68">
        <v>333120</v>
      </c>
      <c r="L86" s="68" t="s">
        <v>3395</v>
      </c>
      <c r="M86" s="69" t="s">
        <v>440</v>
      </c>
      <c r="N86" s="69" t="s">
        <v>681</v>
      </c>
      <c r="O86" s="70">
        <v>0.20163499606999999</v>
      </c>
      <c r="P86" s="70">
        <v>2.7561102410000003E-2</v>
      </c>
      <c r="Q86" s="70">
        <v>0.22948276416999994</v>
      </c>
    </row>
    <row r="87" spans="3:17" ht="285">
      <c r="C87" s="321" t="s">
        <v>971</v>
      </c>
      <c r="D87" s="322"/>
      <c r="E87" s="783"/>
      <c r="F87" s="323" t="s">
        <v>366</v>
      </c>
      <c r="G87" s="319" t="str">
        <f>IFERROR(IF(E87="","",IF(F87="Direct-from-manufacturer",(E87*H87/1000*'Reporting Year &amp; Inflation Adj.'!$F$9),(E87*I87/1000*'Reporting Year &amp; Inflation Adj.'!$F$9))),"")</f>
        <v/>
      </c>
      <c r="H87" s="804">
        <v>9.3875567430000015E-2</v>
      </c>
      <c r="I87" s="805">
        <v>9.3875567430000015E-2</v>
      </c>
      <c r="J87" s="806">
        <v>0</v>
      </c>
      <c r="K87" s="68" t="s">
        <v>972</v>
      </c>
      <c r="L87" s="68" t="s">
        <v>3396</v>
      </c>
      <c r="M87" s="69" t="s">
        <v>965</v>
      </c>
      <c r="N87" s="69" t="s">
        <v>973</v>
      </c>
      <c r="O87" s="70">
        <v>0.10251628145000001</v>
      </c>
      <c r="P87" s="70">
        <v>0</v>
      </c>
      <c r="Q87" s="70">
        <v>0.10251628145000001</v>
      </c>
    </row>
    <row r="88" spans="3:17" ht="85.5">
      <c r="C88" s="321" t="s">
        <v>475</v>
      </c>
      <c r="D88" s="322"/>
      <c r="E88" s="783"/>
      <c r="F88" s="325"/>
      <c r="G88" s="319" t="str">
        <f>IFERROR(IF(E88="","",IF(F88="Direct-from-manufacturer",(E88*H88/1000*'Reporting Year &amp; Inflation Adj.'!$F$9),(E88*I88/1000*'Reporting Year &amp; Inflation Adj.'!$F$9))),"")</f>
        <v/>
      </c>
      <c r="H88" s="804">
        <v>0.25630375087000007</v>
      </c>
      <c r="I88" s="805">
        <v>0.29564966605000004</v>
      </c>
      <c r="J88" s="806">
        <v>0.13403698732167058</v>
      </c>
      <c r="K88" s="68" t="s">
        <v>476</v>
      </c>
      <c r="L88" s="68" t="s">
        <v>3397</v>
      </c>
      <c r="M88" s="69" t="s">
        <v>440</v>
      </c>
      <c r="N88" s="69" t="s">
        <v>474</v>
      </c>
      <c r="O88" s="70">
        <v>0.31600730878999994</v>
      </c>
      <c r="P88" s="70">
        <v>4.7197126790000009E-2</v>
      </c>
      <c r="Q88" s="70">
        <v>0.36317544822000003</v>
      </c>
    </row>
    <row r="89" spans="3:17" ht="57">
      <c r="C89" s="321" t="s">
        <v>629</v>
      </c>
      <c r="D89" s="322"/>
      <c r="E89" s="783"/>
      <c r="F89" s="325"/>
      <c r="G89" s="319" t="str">
        <f>IFERROR(IF(E89="","",IF(F89="Direct-from-manufacturer",(E89*H89/1000*'Reporting Year &amp; Inflation Adj.'!$F$9),(E89*I89/1000*'Reporting Year &amp; Inflation Adj.'!$F$9))),"")</f>
        <v/>
      </c>
      <c r="H89" s="804">
        <v>0.43943605552999992</v>
      </c>
      <c r="I89" s="805">
        <v>0.45459104362500002</v>
      </c>
      <c r="J89" s="806">
        <v>3.3760311441947626E-2</v>
      </c>
      <c r="K89" s="68">
        <v>331410</v>
      </c>
      <c r="L89" s="68" t="s">
        <v>3398</v>
      </c>
      <c r="M89" s="69" t="s">
        <v>440</v>
      </c>
      <c r="N89" s="69" t="s">
        <v>631</v>
      </c>
      <c r="O89" s="70">
        <v>0.40923198986000014</v>
      </c>
      <c r="P89" s="70">
        <v>1.5749122497000001E-2</v>
      </c>
      <c r="Q89" s="70">
        <v>0.42566276151000004</v>
      </c>
    </row>
    <row r="90" spans="3:17" ht="42.75">
      <c r="C90" s="321" t="s">
        <v>378</v>
      </c>
      <c r="D90" s="322"/>
      <c r="E90" s="783"/>
      <c r="F90" s="325"/>
      <c r="G90" s="319" t="str">
        <f>IFERROR(IF(E90="","",IF(F90="Direct-from-manufacturer",(E90*H90/1000*'Reporting Year &amp; Inflation Adj.'!$F$9),(E90*I90/1000*'Reporting Year &amp; Inflation Adj.'!$F$9))),"")</f>
        <v/>
      </c>
      <c r="H90" s="804">
        <v>0.27489975903999991</v>
      </c>
      <c r="I90" s="805">
        <v>0.33132069292000005</v>
      </c>
      <c r="J90" s="806">
        <v>0.17184168803862587</v>
      </c>
      <c r="K90" s="68">
        <v>212230</v>
      </c>
      <c r="L90" s="68" t="s">
        <v>3399</v>
      </c>
      <c r="M90" s="69" t="s">
        <v>371</v>
      </c>
      <c r="N90" s="69" t="s">
        <v>377</v>
      </c>
      <c r="O90" s="70">
        <v>0.27238940930000005</v>
      </c>
      <c r="P90" s="70">
        <v>5.3508391675000003E-2</v>
      </c>
      <c r="Q90" s="70">
        <v>0.32551515174999995</v>
      </c>
    </row>
    <row r="91" spans="3:17" ht="42.75">
      <c r="C91" s="321" t="s">
        <v>446</v>
      </c>
      <c r="D91" s="322"/>
      <c r="E91" s="783"/>
      <c r="F91" s="325"/>
      <c r="G91" s="319" t="str">
        <f>IFERROR(IF(E91="","",IF(F91="Direct-from-manufacturer",(E91*H91/1000*'Reporting Year &amp; Inflation Adj.'!$F$9),(E91*I91/1000*'Reporting Year &amp; Inflation Adj.'!$F$9))),"")</f>
        <v/>
      </c>
      <c r="H91" s="804">
        <v>0.89119044027000027</v>
      </c>
      <c r="I91" s="805">
        <v>0.92851713046000006</v>
      </c>
      <c r="J91" s="806">
        <v>4.1443437555035753E-2</v>
      </c>
      <c r="K91" s="68">
        <v>311221</v>
      </c>
      <c r="L91" s="68" t="s">
        <v>3400</v>
      </c>
      <c r="M91" s="69" t="s">
        <v>440</v>
      </c>
      <c r="N91" s="69" t="s">
        <v>445</v>
      </c>
      <c r="O91" s="70">
        <v>0.9688790880999999</v>
      </c>
      <c r="P91" s="70">
        <v>3.731725327999999E-2</v>
      </c>
      <c r="Q91" s="70">
        <v>1.0075101059000002</v>
      </c>
    </row>
    <row r="92" spans="3:17" ht="42.75">
      <c r="C92" s="321" t="s">
        <v>505</v>
      </c>
      <c r="D92" s="322"/>
      <c r="E92" s="783"/>
      <c r="F92" s="325"/>
      <c r="G92" s="319" t="str">
        <f>IFERROR(IF(E92="","",IF(F92="Direct-from-manufacturer",(E92*H92/1000*'Reporting Year &amp; Inflation Adj.'!$F$9),(E92*I92/1000*'Reporting Year &amp; Inflation Adj.'!$F$9))),"")</f>
        <v/>
      </c>
      <c r="H92" s="804">
        <v>0.19459913570000001</v>
      </c>
      <c r="I92" s="805">
        <v>0.25221427382</v>
      </c>
      <c r="J92" s="806">
        <v>0.22964258425094394</v>
      </c>
      <c r="K92" s="68">
        <v>314120</v>
      </c>
      <c r="L92" s="68" t="s">
        <v>3401</v>
      </c>
      <c r="M92" s="69" t="s">
        <v>440</v>
      </c>
      <c r="N92" s="69" t="s">
        <v>504</v>
      </c>
      <c r="O92" s="70">
        <v>0.20764953326999999</v>
      </c>
      <c r="P92" s="70">
        <v>6.1261307979999999E-2</v>
      </c>
      <c r="Q92" s="70">
        <v>0.26892962966</v>
      </c>
    </row>
    <row r="93" spans="3:17" ht="42.75">
      <c r="C93" s="321" t="s">
        <v>992</v>
      </c>
      <c r="D93" s="322"/>
      <c r="E93" s="783"/>
      <c r="F93" s="323" t="s">
        <v>366</v>
      </c>
      <c r="G93" s="319" t="str">
        <f>IFERROR(IF(E93="","",IF(F93="Direct-from-manufacturer",(E93*H93/1000*'Reporting Year &amp; Inflation Adj.'!$F$9),(E93*I93/1000*'Reporting Year &amp; Inflation Adj.'!$F$9))),"")</f>
        <v/>
      </c>
      <c r="H93" s="804">
        <v>8.1723255050000027E-2</v>
      </c>
      <c r="I93" s="805">
        <v>8.1723255050000027E-2</v>
      </c>
      <c r="J93" s="806">
        <v>0</v>
      </c>
      <c r="K93" s="68">
        <v>541511</v>
      </c>
      <c r="L93" s="68" t="s">
        <v>3402</v>
      </c>
      <c r="M93" s="69" t="s">
        <v>981</v>
      </c>
      <c r="N93" s="69" t="s">
        <v>994</v>
      </c>
      <c r="O93" s="70">
        <v>8.5311799849999995E-2</v>
      </c>
      <c r="P93" s="70">
        <v>0</v>
      </c>
      <c r="Q93" s="70">
        <v>8.5311799849999995E-2</v>
      </c>
    </row>
    <row r="94" spans="3:17" ht="28.5">
      <c r="C94" s="321" t="s">
        <v>641</v>
      </c>
      <c r="D94" s="322"/>
      <c r="E94" s="783"/>
      <c r="F94" s="325"/>
      <c r="G94" s="319" t="str">
        <f>IFERROR(IF(E94="","",IF(F94="Direct-from-manufacturer",(E94*H94/1000*'Reporting Year &amp; Inflation Adj.'!$F$9),(E94*I94/1000*'Reporting Year &amp; Inflation Adj.'!$F$9))),"")</f>
        <v/>
      </c>
      <c r="H94" s="804">
        <v>0.470238795825</v>
      </c>
      <c r="I94" s="805">
        <v>0.48896693464000002</v>
      </c>
      <c r="J94" s="806">
        <v>3.8915922421236371E-2</v>
      </c>
      <c r="K94" s="68">
        <v>332114</v>
      </c>
      <c r="L94" s="68" t="s">
        <v>3403</v>
      </c>
      <c r="M94" s="69" t="s">
        <v>440</v>
      </c>
      <c r="N94" s="69" t="s">
        <v>640</v>
      </c>
      <c r="O94" s="70">
        <v>0.35035225813000009</v>
      </c>
      <c r="P94" s="70">
        <v>1.3531304576999999E-2</v>
      </c>
      <c r="Q94" s="70">
        <v>0.36348472153</v>
      </c>
    </row>
    <row r="95" spans="3:17" ht="57">
      <c r="C95" s="321" t="s">
        <v>614</v>
      </c>
      <c r="D95" s="322"/>
      <c r="E95" s="783"/>
      <c r="F95" s="325"/>
      <c r="G95" s="319" t="str">
        <f>IFERROR(IF(E95="","",IF(F95="Direct-from-manufacturer",(E95*H95/1000*'Reporting Year &amp; Inflation Adj.'!$F$9),(E95*I95/1000*'Reporting Year &amp; Inflation Adj.'!$F$9))),"")</f>
        <v/>
      </c>
      <c r="H95" s="804">
        <v>0.12882853033</v>
      </c>
      <c r="I95" s="805">
        <v>0.17251540375999996</v>
      </c>
      <c r="J95" s="806">
        <v>0.2547776887572698</v>
      </c>
      <c r="K95" s="68">
        <v>327991</v>
      </c>
      <c r="L95" s="68" t="s">
        <v>3404</v>
      </c>
      <c r="M95" s="69" t="s">
        <v>440</v>
      </c>
      <c r="N95" s="69" t="s">
        <v>613</v>
      </c>
      <c r="O95" s="70">
        <v>0.14866862947000001</v>
      </c>
      <c r="P95" s="70">
        <v>4.7104198969999997E-2</v>
      </c>
      <c r="Q95" s="70">
        <v>0.19643764323999999</v>
      </c>
    </row>
    <row r="96" spans="3:17" ht="99.75">
      <c r="C96" s="321" t="s">
        <v>644</v>
      </c>
      <c r="D96" s="322"/>
      <c r="E96" s="783"/>
      <c r="F96" s="325"/>
      <c r="G96" s="319" t="str">
        <f>IFERROR(IF(E96="","",IF(F96="Direct-from-manufacturer",(E96*H96/1000*'Reporting Year &amp; Inflation Adj.'!$F$9),(E96*I96/1000*'Reporting Year &amp; Inflation Adj.'!$F$9))),"")</f>
        <v/>
      </c>
      <c r="H96" s="804">
        <v>0.148828028675</v>
      </c>
      <c r="I96" s="805">
        <v>0.19161272274999994</v>
      </c>
      <c r="J96" s="806">
        <v>0.22017409128434304</v>
      </c>
      <c r="K96" s="68">
        <v>332200</v>
      </c>
      <c r="L96" s="68" t="s">
        <v>3405</v>
      </c>
      <c r="M96" s="69" t="s">
        <v>440</v>
      </c>
      <c r="N96" s="69" t="s">
        <v>646</v>
      </c>
      <c r="O96" s="70">
        <v>0.17527054912999998</v>
      </c>
      <c r="P96" s="70">
        <v>4.9135878249999994E-2</v>
      </c>
      <c r="Q96" s="70">
        <v>0.22429077757000002</v>
      </c>
    </row>
    <row r="97" spans="3:17" ht="71.25">
      <c r="C97" s="321" t="s">
        <v>704</v>
      </c>
      <c r="D97" s="322"/>
      <c r="E97" s="783"/>
      <c r="F97" s="325"/>
      <c r="G97" s="319" t="str">
        <f>IFERROR(IF(E97="","",IF(F97="Direct-from-manufacturer",(E97*H97/1000*'Reporting Year &amp; Inflation Adj.'!$F$9),(E97*I97/1000*'Reporting Year &amp; Inflation Adj.'!$F$9))),"")</f>
        <v/>
      </c>
      <c r="H97" s="804">
        <v>0.16015430177500001</v>
      </c>
      <c r="I97" s="805">
        <v>0.18030807449499997</v>
      </c>
      <c r="J97" s="806">
        <v>0.11296214202855798</v>
      </c>
      <c r="K97" s="68" t="s">
        <v>705</v>
      </c>
      <c r="L97" s="68" t="s">
        <v>3406</v>
      </c>
      <c r="M97" s="69" t="s">
        <v>440</v>
      </c>
      <c r="N97" s="69" t="s">
        <v>702</v>
      </c>
      <c r="O97" s="70">
        <v>0.18467934672000003</v>
      </c>
      <c r="P97" s="70">
        <v>2.3084595209999996E-2</v>
      </c>
      <c r="Q97" s="70">
        <v>0.20855775213</v>
      </c>
    </row>
    <row r="98" spans="3:17" ht="28.5">
      <c r="C98" s="321" t="s">
        <v>351</v>
      </c>
      <c r="D98" s="322"/>
      <c r="E98" s="783"/>
      <c r="F98" s="325"/>
      <c r="G98" s="319" t="str">
        <f>IFERROR(IF(E98="","",IF(F98="Direct-from-manufacturer",(E98*H98/1000*'Reporting Year &amp; Inflation Adj.'!$F$9),(E98*I98/1000*'Reporting Year &amp; Inflation Adj.'!$F$9))),"")</f>
        <v/>
      </c>
      <c r="H98" s="804">
        <v>1.8925732254900001</v>
      </c>
      <c r="I98" s="805">
        <v>1.9458310481000001</v>
      </c>
      <c r="J98" s="806">
        <v>2.5987796126686748E-2</v>
      </c>
      <c r="K98" s="68">
        <v>112120</v>
      </c>
      <c r="L98" s="68" t="s">
        <v>3407</v>
      </c>
      <c r="M98" s="69" t="s">
        <v>332</v>
      </c>
      <c r="N98" s="69" t="s">
        <v>350</v>
      </c>
      <c r="O98" s="70">
        <v>1.7665675110000001</v>
      </c>
      <c r="P98" s="70">
        <v>4.1984165949999999E-2</v>
      </c>
      <c r="Q98" s="70">
        <v>1.8065133875799995</v>
      </c>
    </row>
    <row r="99" spans="3:17" ht="99.75">
      <c r="C99" s="321" t="s">
        <v>933</v>
      </c>
      <c r="D99" s="322"/>
      <c r="E99" s="783"/>
      <c r="F99" s="323" t="s">
        <v>366</v>
      </c>
      <c r="G99" s="319" t="str">
        <f>IFERROR(IF(E99="","",IF(F99="Direct-from-manufacturer",(E99*H99/1000*'Reporting Year &amp; Inflation Adj.'!$F$9),(E99*I99/1000*'Reporting Year &amp; Inflation Adj.'!$F$9))),"")</f>
        <v/>
      </c>
      <c r="H99" s="804">
        <v>8.8469481899999994E-2</v>
      </c>
      <c r="I99" s="805">
        <v>8.8469481899999994E-2</v>
      </c>
      <c r="J99" s="806">
        <v>0</v>
      </c>
      <c r="K99" s="68">
        <v>518200</v>
      </c>
      <c r="L99" s="68" t="s">
        <v>3408</v>
      </c>
      <c r="M99" s="69" t="s">
        <v>904</v>
      </c>
      <c r="N99" s="69" t="s">
        <v>935</v>
      </c>
      <c r="O99" s="70">
        <v>9.4416201590000026E-2</v>
      </c>
      <c r="P99" s="70">
        <v>0</v>
      </c>
      <c r="Q99" s="70">
        <v>9.4416201590000026E-2</v>
      </c>
    </row>
    <row r="100" spans="3:17" ht="57">
      <c r="C100" s="321" t="s">
        <v>840</v>
      </c>
      <c r="D100" s="322"/>
      <c r="E100" s="783"/>
      <c r="F100" s="325"/>
      <c r="G100" s="319" t="str">
        <f>IFERROR(IF(E100="","",IF(F100="Direct-from-manufacturer",(E100*H100/1000*'Reporting Year &amp; Inflation Adj.'!$F$9),(E100*I100/1000*'Reporting Year &amp; Inflation Adj.'!$F$9))),"")</f>
        <v/>
      </c>
      <c r="H100" s="804">
        <v>0.12144670933</v>
      </c>
      <c r="I100" s="805">
        <v>0.14720512093999999</v>
      </c>
      <c r="J100" s="806">
        <v>0.1757111652762588</v>
      </c>
      <c r="K100" s="68">
        <v>339114</v>
      </c>
      <c r="L100" s="68" t="s">
        <v>3409</v>
      </c>
      <c r="M100" s="69" t="s">
        <v>440</v>
      </c>
      <c r="N100" s="69" t="s">
        <v>838</v>
      </c>
      <c r="O100" s="70">
        <v>0.14388459436000006</v>
      </c>
      <c r="P100" s="70">
        <v>3.0493722039999997E-2</v>
      </c>
      <c r="Q100" s="70">
        <v>0.17471566247</v>
      </c>
    </row>
    <row r="101" spans="3:17" ht="57">
      <c r="C101" s="321" t="s">
        <v>842</v>
      </c>
      <c r="D101" s="322"/>
      <c r="E101" s="783"/>
      <c r="F101" s="325"/>
      <c r="G101" s="319" t="str">
        <f>IFERROR(IF(E101="","",IF(F101="Direct-from-manufacturer",(E101*H101/1000*'Reporting Year &amp; Inflation Adj.'!$F$9),(E101*I101/1000*'Reporting Year &amp; Inflation Adj.'!$F$9))),"")</f>
        <v/>
      </c>
      <c r="H101" s="804">
        <v>7.4362819135000036E-2</v>
      </c>
      <c r="I101" s="805">
        <v>0.104055119945</v>
      </c>
      <c r="J101" s="806">
        <v>0.28630349771108521</v>
      </c>
      <c r="K101" s="68">
        <v>339116</v>
      </c>
      <c r="L101" s="68" t="s">
        <v>3410</v>
      </c>
      <c r="M101" s="69" t="s">
        <v>440</v>
      </c>
      <c r="N101" s="69" t="s">
        <v>838</v>
      </c>
      <c r="O101" s="70">
        <v>8.3066336130000001E-2</v>
      </c>
      <c r="P101" s="70">
        <v>3.483316258E-2</v>
      </c>
      <c r="Q101" s="70">
        <v>0.11791401771</v>
      </c>
    </row>
    <row r="102" spans="3:17" ht="99.75">
      <c r="C102" s="321" t="s">
        <v>1040</v>
      </c>
      <c r="D102" s="322"/>
      <c r="E102" s="783"/>
      <c r="F102" s="323" t="s">
        <v>366</v>
      </c>
      <c r="G102" s="319" t="str">
        <f>IFERROR(IF(E102="","",IF(F102="Direct-from-manufacturer",(E102*H102/1000*'Reporting Year &amp; Inflation Adj.'!$F$9),(E102*I102/1000*'Reporting Year &amp; Inflation Adj.'!$F$9))),"")</f>
        <v/>
      </c>
      <c r="H102" s="804">
        <v>4.9948452570000003E-2</v>
      </c>
      <c r="I102" s="805">
        <v>4.9948452570000003E-2</v>
      </c>
      <c r="J102" s="806">
        <v>0</v>
      </c>
      <c r="K102" s="68">
        <v>621200</v>
      </c>
      <c r="L102" s="68" t="s">
        <v>3411</v>
      </c>
      <c r="M102" s="69" t="s">
        <v>1038</v>
      </c>
      <c r="N102" s="69" t="s">
        <v>1042</v>
      </c>
      <c r="O102" s="70">
        <v>5.7036124189999995E-2</v>
      </c>
      <c r="P102" s="70">
        <v>0</v>
      </c>
      <c r="Q102" s="70">
        <v>5.7036124189999995E-2</v>
      </c>
    </row>
    <row r="103" spans="3:17" ht="57">
      <c r="C103" s="321" t="s">
        <v>380</v>
      </c>
      <c r="D103" s="322"/>
      <c r="E103" s="783"/>
      <c r="F103" s="325"/>
      <c r="G103" s="319" t="str">
        <f>IFERROR(IF(E103="","",IF(F103="Direct-from-manufacturer",(E103*H103/1000*'Reporting Year &amp; Inflation Adj.'!$F$9),(E103*I103/1000*'Reporting Year &amp; Inflation Adj.'!$F$9))),"")</f>
        <v/>
      </c>
      <c r="H103" s="804">
        <v>0.14115530617500005</v>
      </c>
      <c r="I103" s="805">
        <v>0.21267717355999996</v>
      </c>
      <c r="J103" s="806">
        <v>0.33393481696315624</v>
      </c>
      <c r="K103" s="68">
        <v>212310</v>
      </c>
      <c r="L103" s="68" t="s">
        <v>3412</v>
      </c>
      <c r="M103" s="69" t="s">
        <v>371</v>
      </c>
      <c r="N103" s="69" t="s">
        <v>382</v>
      </c>
      <c r="O103" s="70">
        <v>0.19387115817</v>
      </c>
      <c r="P103" s="70">
        <v>8.6297871180000013E-2</v>
      </c>
      <c r="Q103" s="70">
        <v>0.28086228323000006</v>
      </c>
    </row>
    <row r="104" spans="3:17" ht="42.75">
      <c r="C104" s="321" t="s">
        <v>954</v>
      </c>
      <c r="D104" s="322"/>
      <c r="E104" s="783"/>
      <c r="F104" s="323" t="s">
        <v>366</v>
      </c>
      <c r="G104" s="319" t="str">
        <f>IFERROR(IF(E104="","",IF(F104="Direct-from-manufacturer",(E104*H104/1000*'Reporting Year &amp; Inflation Adj.'!$F$9),(E104*I104/1000*'Reporting Year &amp; Inflation Adj.'!$F$9))),"")</f>
        <v/>
      </c>
      <c r="H104" s="804">
        <v>5.2887159269999998E-2</v>
      </c>
      <c r="I104" s="805">
        <v>5.2887159269999998E-2</v>
      </c>
      <c r="J104" s="806">
        <v>0</v>
      </c>
      <c r="K104" s="68">
        <v>524113</v>
      </c>
      <c r="L104" s="68" t="s">
        <v>3413</v>
      </c>
      <c r="M104" s="69" t="s">
        <v>943</v>
      </c>
      <c r="N104" s="69" t="s">
        <v>957</v>
      </c>
      <c r="O104" s="70">
        <v>5.1678779441000001E-2</v>
      </c>
      <c r="P104" s="70">
        <v>0</v>
      </c>
      <c r="Q104" s="70">
        <v>5.1678779441000001E-2</v>
      </c>
    </row>
    <row r="105" spans="3:17" ht="71.25">
      <c r="C105" s="321" t="s">
        <v>908</v>
      </c>
      <c r="D105" s="322"/>
      <c r="E105" s="783"/>
      <c r="F105" s="325"/>
      <c r="G105" s="319" t="str">
        <f>IFERROR(IF(E105="","",IF(F105="Direct-from-manufacturer",(E105*H105/1000*'Reporting Year &amp; Inflation Adj.'!$F$9),(E105*I105/1000*'Reporting Year &amp; Inflation Adj.'!$F$9))),"")</f>
        <v/>
      </c>
      <c r="H105" s="804">
        <v>5.2654140975000006E-2</v>
      </c>
      <c r="I105" s="805">
        <v>0.10791888316500002</v>
      </c>
      <c r="J105" s="806">
        <v>0.51340484672444386</v>
      </c>
      <c r="K105" s="68" t="s">
        <v>909</v>
      </c>
      <c r="L105" s="68" t="s">
        <v>3414</v>
      </c>
      <c r="M105" s="69" t="s">
        <v>904</v>
      </c>
      <c r="N105" s="69" t="s">
        <v>905</v>
      </c>
      <c r="O105" s="70">
        <v>5.320343172E-2</v>
      </c>
      <c r="P105" s="70">
        <v>5.5705135419999996E-2</v>
      </c>
      <c r="Q105" s="70">
        <v>0.10895048353999999</v>
      </c>
    </row>
    <row r="106" spans="3:17" ht="42.75">
      <c r="C106" s="321" t="s">
        <v>489</v>
      </c>
      <c r="D106" s="322"/>
      <c r="E106" s="783"/>
      <c r="F106" s="325"/>
      <c r="G106" s="319" t="str">
        <f>IFERROR(IF(E106="","",IF(F106="Direct-from-manufacturer",(E106*H106/1000*'Reporting Year &amp; Inflation Adj.'!$F$9),(E106*I106/1000*'Reporting Year &amp; Inflation Adj.'!$F$9))),"")</f>
        <v/>
      </c>
      <c r="H106" s="804">
        <v>0.24541929060000003</v>
      </c>
      <c r="I106" s="805">
        <v>0.31270352589</v>
      </c>
      <c r="J106" s="806">
        <v>0.21499495673627117</v>
      </c>
      <c r="K106" s="68">
        <v>312140</v>
      </c>
      <c r="L106" s="68" t="s">
        <v>3415</v>
      </c>
      <c r="M106" s="69" t="s">
        <v>440</v>
      </c>
      <c r="N106" s="69" t="s">
        <v>486</v>
      </c>
      <c r="O106" s="70">
        <v>0.24444523884</v>
      </c>
      <c r="P106" s="70">
        <v>6.311049581E-2</v>
      </c>
      <c r="Q106" s="70">
        <v>0.30729512470999998</v>
      </c>
    </row>
    <row r="107" spans="3:17" ht="28.5">
      <c r="C107" s="321" t="s">
        <v>438</v>
      </c>
      <c r="D107" s="322"/>
      <c r="E107" s="783"/>
      <c r="F107" s="325"/>
      <c r="G107" s="319" t="str">
        <f>IFERROR(IF(E107="","",IF(F107="Direct-from-manufacturer",(E107*H107/1000*'Reporting Year &amp; Inflation Adj.'!$F$9),(E107*I107/1000*'Reporting Year &amp; Inflation Adj.'!$F$9))),"")</f>
        <v/>
      </c>
      <c r="H107" s="804">
        <v>0.22379070627</v>
      </c>
      <c r="I107" s="805">
        <v>0.26551249461499998</v>
      </c>
      <c r="J107" s="806">
        <v>0.15498377699576346</v>
      </c>
      <c r="K107" s="68">
        <v>311111</v>
      </c>
      <c r="L107" s="68" t="s">
        <v>3416</v>
      </c>
      <c r="M107" s="69" t="s">
        <v>440</v>
      </c>
      <c r="N107" s="69" t="s">
        <v>441</v>
      </c>
      <c r="O107" s="70">
        <v>0.28926736466000003</v>
      </c>
      <c r="P107" s="70">
        <v>5.1473092079999998E-2</v>
      </c>
      <c r="Q107" s="70">
        <v>0.34036728773000002</v>
      </c>
    </row>
    <row r="108" spans="3:17" ht="42.75">
      <c r="C108" s="321" t="s">
        <v>847</v>
      </c>
      <c r="D108" s="322"/>
      <c r="E108" s="783"/>
      <c r="F108" s="325"/>
      <c r="G108" s="319" t="str">
        <f>IFERROR(IF(E108="","",IF(F108="Direct-from-manufacturer",(E108*H108/1000*'Reporting Year &amp; Inflation Adj.'!$F$9),(E108*I108/1000*'Reporting Year &amp; Inflation Adj.'!$F$9))),"")</f>
        <v/>
      </c>
      <c r="H108" s="804">
        <v>7.6794358960000017E-2</v>
      </c>
      <c r="I108" s="805">
        <v>0.13371626241000001</v>
      </c>
      <c r="J108" s="806">
        <v>0.42856415885517868</v>
      </c>
      <c r="K108" s="68">
        <v>339930</v>
      </c>
      <c r="L108" s="68" t="s">
        <v>3417</v>
      </c>
      <c r="M108" s="69" t="s">
        <v>440</v>
      </c>
      <c r="N108" s="69" t="s">
        <v>845</v>
      </c>
      <c r="O108" s="70">
        <v>8.5100252519999989E-2</v>
      </c>
      <c r="P108" s="70">
        <v>6.1866526799999995E-2</v>
      </c>
      <c r="Q108" s="70">
        <v>0.14696301811999998</v>
      </c>
    </row>
    <row r="109" spans="3:17" ht="114.75">
      <c r="C109" s="321" t="s">
        <v>393</v>
      </c>
      <c r="D109" s="808" t="s">
        <v>3999</v>
      </c>
      <c r="E109" s="783"/>
      <c r="F109" s="323" t="s">
        <v>366</v>
      </c>
      <c r="G109" s="319" t="str">
        <f>IFERROR(IF(E109="","",IF(F109="Direct-from-manufacturer",(E109*H109/1000*'Reporting Year &amp; Inflation Adj.'!$F$9),(E109*I109/1000*'Reporting Year &amp; Inflation Adj.'!$F$9))),"")</f>
        <v/>
      </c>
      <c r="H109" s="804">
        <v>0.47490113912000015</v>
      </c>
      <c r="I109" s="805">
        <v>0.47490113912000015</v>
      </c>
      <c r="J109" s="806">
        <v>0</v>
      </c>
      <c r="K109" s="68">
        <v>221300</v>
      </c>
      <c r="L109" s="68" t="s">
        <v>3418</v>
      </c>
      <c r="M109" s="69" t="s">
        <v>391</v>
      </c>
      <c r="N109" s="69" t="s">
        <v>395</v>
      </c>
      <c r="O109" s="70">
        <v>0.59452432490000007</v>
      </c>
      <c r="P109" s="70">
        <v>0</v>
      </c>
      <c r="Q109" s="70">
        <v>0.59452432490000007</v>
      </c>
    </row>
    <row r="110" spans="3:17" ht="57">
      <c r="C110" s="321" t="s">
        <v>868</v>
      </c>
      <c r="D110" s="322"/>
      <c r="E110" s="783"/>
      <c r="F110" s="323" t="s">
        <v>366</v>
      </c>
      <c r="G110" s="319" t="str">
        <f>IFERROR(IF(E110="","",IF(F110="Direct-from-manufacturer",(E110*H110/1000*'Reporting Year &amp; Inflation Adj.'!$F$9),(E110*I110/1000*'Reporting Year &amp; Inflation Adj.'!$F$9))),"")</f>
        <v/>
      </c>
      <c r="H110" s="804">
        <v>8.8558756985000001E-2</v>
      </c>
      <c r="I110" s="805">
        <v>8.8558756985000001E-2</v>
      </c>
      <c r="J110" s="806">
        <v>0</v>
      </c>
      <c r="K110" s="68">
        <v>424200</v>
      </c>
      <c r="L110" s="68" t="s">
        <v>3419</v>
      </c>
      <c r="M110" s="69" t="s">
        <v>853</v>
      </c>
      <c r="N110" s="69" t="s">
        <v>870</v>
      </c>
      <c r="O110" s="70">
        <v>9.6307940100000017E-2</v>
      </c>
      <c r="P110" s="70">
        <v>0</v>
      </c>
      <c r="Q110" s="70">
        <v>9.6307940100000017E-2</v>
      </c>
    </row>
    <row r="111" spans="3:17" ht="30">
      <c r="C111" s="321" t="s">
        <v>462</v>
      </c>
      <c r="D111" s="322"/>
      <c r="E111" s="783"/>
      <c r="F111" s="325"/>
      <c r="G111" s="319" t="str">
        <f>IFERROR(IF(E111="","",IF(F111="Direct-from-manufacturer",(E111*H111/1000*'Reporting Year &amp; Inflation Adj.'!$F$9),(E111*I111/1000*'Reporting Year &amp; Inflation Adj.'!$F$9))),"")</f>
        <v/>
      </c>
      <c r="H111" s="804">
        <v>0.62213883170000006</v>
      </c>
      <c r="I111" s="805">
        <v>0.6593905777500001</v>
      </c>
      <c r="J111" s="806">
        <v>5.8300806035440793E-2</v>
      </c>
      <c r="K111" s="68">
        <v>311514</v>
      </c>
      <c r="L111" s="68" t="s">
        <v>3420</v>
      </c>
      <c r="M111" s="69" t="s">
        <v>440</v>
      </c>
      <c r="N111" s="69" t="s">
        <v>459</v>
      </c>
      <c r="O111" s="70">
        <v>0.62983422461000016</v>
      </c>
      <c r="P111" s="70">
        <v>3.7273338299999986E-2</v>
      </c>
      <c r="Q111" s="70">
        <v>0.66630551082</v>
      </c>
    </row>
    <row r="112" spans="3:17" ht="42.75">
      <c r="C112" s="321" t="s">
        <v>1111</v>
      </c>
      <c r="D112" s="322"/>
      <c r="E112" s="783"/>
      <c r="F112" s="323" t="s">
        <v>366</v>
      </c>
      <c r="G112" s="319" t="str">
        <f>IFERROR(IF(E112="","",IF(F112="Direct-from-manufacturer",(E112*H112/1000*'Reporting Year &amp; Inflation Adj.'!$F$9),(E112*I112/1000*'Reporting Year &amp; Inflation Adj.'!$F$9))),"")</f>
        <v/>
      </c>
      <c r="H112" s="804">
        <v>0.1339589819</v>
      </c>
      <c r="I112" s="805">
        <v>0.1339589819</v>
      </c>
      <c r="J112" s="806">
        <v>0</v>
      </c>
      <c r="K112" s="68">
        <v>812300</v>
      </c>
      <c r="L112" s="68" t="s">
        <v>3421</v>
      </c>
      <c r="M112" s="69" t="s">
        <v>1098</v>
      </c>
      <c r="N112" s="69" t="s">
        <v>1112</v>
      </c>
      <c r="O112" s="70">
        <v>0.15958226306000001</v>
      </c>
      <c r="P112" s="70">
        <v>0</v>
      </c>
      <c r="Q112" s="70">
        <v>0.15958226306000001</v>
      </c>
    </row>
    <row r="113" spans="3:17" ht="71.25">
      <c r="C113" s="321" t="s">
        <v>743</v>
      </c>
      <c r="D113" s="322"/>
      <c r="E113" s="783"/>
      <c r="F113" s="325"/>
      <c r="G113" s="319" t="str">
        <f>IFERROR(IF(E113="","",IF(F113="Direct-from-manufacturer",(E113*H113/1000*'Reporting Year &amp; Inflation Adj.'!$F$9),(E113*I113/1000*'Reporting Year &amp; Inflation Adj.'!$F$9))),"")</f>
        <v/>
      </c>
      <c r="H113" s="804">
        <v>7.4262517269999995E-2</v>
      </c>
      <c r="I113" s="805">
        <v>0.115219310105</v>
      </c>
      <c r="J113" s="806">
        <v>0.35890877698637996</v>
      </c>
      <c r="K113" s="68">
        <v>334510</v>
      </c>
      <c r="L113" s="68" t="s">
        <v>3422</v>
      </c>
      <c r="M113" s="69" t="s">
        <v>440</v>
      </c>
      <c r="N113" s="69" t="s">
        <v>745</v>
      </c>
      <c r="O113" s="70">
        <v>8.7373544659999997E-2</v>
      </c>
      <c r="P113" s="70">
        <v>4.8299902640000003E-2</v>
      </c>
      <c r="Q113" s="70">
        <v>0.13558058592</v>
      </c>
    </row>
    <row r="114" spans="3:17" ht="57">
      <c r="C114" s="321" t="s">
        <v>1100</v>
      </c>
      <c r="D114" s="322"/>
      <c r="E114" s="783"/>
      <c r="F114" s="323" t="s">
        <v>366</v>
      </c>
      <c r="G114" s="319" t="str">
        <f>IFERROR(IF(E114="","",IF(F114="Direct-from-manufacturer",(E114*H114/1000*'Reporting Year &amp; Inflation Adj.'!$F$9),(E114*I114/1000*'Reporting Year &amp; Inflation Adj.'!$F$9))),"")</f>
        <v/>
      </c>
      <c r="H114" s="804">
        <v>6.5746536814999978E-2</v>
      </c>
      <c r="I114" s="805">
        <v>6.5746536814999978E-2</v>
      </c>
      <c r="J114" s="806">
        <v>0</v>
      </c>
      <c r="K114" s="68">
        <v>811200</v>
      </c>
      <c r="L114" s="68" t="s">
        <v>3423</v>
      </c>
      <c r="M114" s="69" t="s">
        <v>1098</v>
      </c>
      <c r="N114" s="69" t="s">
        <v>1102</v>
      </c>
      <c r="O114" s="70">
        <v>7.6447231099999957E-2</v>
      </c>
      <c r="P114" s="70">
        <v>0</v>
      </c>
      <c r="Q114" s="70">
        <v>7.6447231099999957E-2</v>
      </c>
    </row>
    <row r="115" spans="3:17" ht="75">
      <c r="C115" s="321" t="s">
        <v>737</v>
      </c>
      <c r="D115" s="322"/>
      <c r="E115" s="783"/>
      <c r="F115" s="325"/>
      <c r="G115" s="319" t="str">
        <f>IFERROR(IF(E115="","",IF(F115="Direct-from-manufacturer",(E115*H115/1000*'Reporting Year &amp; Inflation Adj.'!$F$9),(E115*I115/1000*'Reporting Year &amp; Inflation Adj.'!$F$9))),"")</f>
        <v/>
      </c>
      <c r="H115" s="804">
        <v>6.9002795254999999E-2</v>
      </c>
      <c r="I115" s="805">
        <v>8.5524334325000007E-2</v>
      </c>
      <c r="J115" s="806">
        <v>0.1933143892377206</v>
      </c>
      <c r="K115" s="68" t="s">
        <v>738</v>
      </c>
      <c r="L115" s="68" t="s">
        <v>3424</v>
      </c>
      <c r="M115" s="69" t="s">
        <v>440</v>
      </c>
      <c r="N115" s="69" t="s">
        <v>739</v>
      </c>
      <c r="O115" s="70">
        <v>8.000109436999997E-2</v>
      </c>
      <c r="P115" s="70">
        <v>1.8703069456000004E-2</v>
      </c>
      <c r="Q115" s="70">
        <v>9.8701057379999999E-2</v>
      </c>
    </row>
    <row r="116" spans="3:17" ht="57">
      <c r="C116" s="321" t="s">
        <v>1028</v>
      </c>
      <c r="D116" s="322"/>
      <c r="E116" s="783"/>
      <c r="F116" s="323" t="s">
        <v>366</v>
      </c>
      <c r="G116" s="319" t="str">
        <f>IFERROR(IF(E116="","",IF(F116="Direct-from-manufacturer",(E116*H116/1000*'Reporting Year &amp; Inflation Adj.'!$F$9),(E116*I116/1000*'Reporting Year &amp; Inflation Adj.'!$F$9))),"")</f>
        <v/>
      </c>
      <c r="H116" s="804">
        <v>0.16279901746999995</v>
      </c>
      <c r="I116" s="805">
        <v>0.16279901746999995</v>
      </c>
      <c r="J116" s="806">
        <v>0</v>
      </c>
      <c r="K116" s="68">
        <v>611100</v>
      </c>
      <c r="L116" s="68" t="s">
        <v>3425</v>
      </c>
      <c r="M116" s="69" t="s">
        <v>1030</v>
      </c>
      <c r="N116" s="69" t="s">
        <v>1031</v>
      </c>
      <c r="O116" s="70">
        <v>0.18835691127000007</v>
      </c>
      <c r="P116" s="70">
        <v>0</v>
      </c>
      <c r="Q116" s="70">
        <v>0.18835691127000007</v>
      </c>
    </row>
    <row r="117" spans="3:17" ht="28.5">
      <c r="C117" s="321" t="s">
        <v>1011</v>
      </c>
      <c r="D117" s="322"/>
      <c r="E117" s="783"/>
      <c r="F117" s="323" t="s">
        <v>366</v>
      </c>
      <c r="G117" s="319" t="str">
        <f>IFERROR(IF(E117="","",IF(F117="Direct-from-manufacturer",(E117*H117/1000*'Reporting Year &amp; Inflation Adj.'!$F$9),(E117*I117/1000*'Reporting Year &amp; Inflation Adj.'!$F$9))),"")</f>
        <v/>
      </c>
      <c r="H117" s="804">
        <v>4.9303500899999998E-2</v>
      </c>
      <c r="I117" s="805">
        <v>4.9303500899999998E-2</v>
      </c>
      <c r="J117" s="806">
        <v>0</v>
      </c>
      <c r="K117" s="68">
        <v>561300</v>
      </c>
      <c r="L117" s="68" t="s">
        <v>3426</v>
      </c>
      <c r="M117" s="69" t="s">
        <v>1006</v>
      </c>
      <c r="N117" s="69" t="s">
        <v>1013</v>
      </c>
      <c r="O117" s="70">
        <v>5.1619940628000002E-2</v>
      </c>
      <c r="P117" s="70">
        <v>0</v>
      </c>
      <c r="Q117" s="70">
        <v>5.1619940628000002E-2</v>
      </c>
    </row>
    <row r="118" spans="3:17" ht="57">
      <c r="C118" s="321" t="s">
        <v>998</v>
      </c>
      <c r="D118" s="322"/>
      <c r="E118" s="783"/>
      <c r="F118" s="323" t="s">
        <v>366</v>
      </c>
      <c r="G118" s="319" t="str">
        <f>IFERROR(IF(E118="","",IF(F118="Direct-from-manufacturer",(E118*H118/1000*'Reporting Year &amp; Inflation Adj.'!$F$9),(E118*I118/1000*'Reporting Year &amp; Inflation Adj.'!$F$9))),"")</f>
        <v/>
      </c>
      <c r="H118" s="804">
        <v>8.3442227129999991E-2</v>
      </c>
      <c r="I118" s="805">
        <v>8.3442227129999991E-2</v>
      </c>
      <c r="J118" s="806">
        <v>0</v>
      </c>
      <c r="K118" s="68" t="s">
        <v>3715</v>
      </c>
      <c r="L118" s="68" t="s">
        <v>3427</v>
      </c>
      <c r="M118" s="69" t="s">
        <v>981</v>
      </c>
      <c r="N118" s="69" t="s">
        <v>1649</v>
      </c>
      <c r="O118" s="70">
        <v>9.0964913760000016E-2</v>
      </c>
      <c r="P118" s="70">
        <v>0</v>
      </c>
      <c r="Q118" s="70">
        <v>9.0964913760000016E-2</v>
      </c>
    </row>
    <row r="119" spans="3:17" ht="57">
      <c r="C119" s="321" t="s">
        <v>755</v>
      </c>
      <c r="D119" s="322"/>
      <c r="E119" s="783"/>
      <c r="F119" s="325"/>
      <c r="G119" s="319" t="str">
        <f>IFERROR(IF(E119="","",IF(F119="Direct-from-manufacturer",(E119*H119/1000*'Reporting Year &amp; Inflation Adj.'!$F$9),(E119*I119/1000*'Reporting Year &amp; Inflation Adj.'!$F$9))),"")</f>
        <v/>
      </c>
      <c r="H119" s="804">
        <v>3.5778996404999999E-2</v>
      </c>
      <c r="I119" s="805">
        <v>5.3769592900000003E-2</v>
      </c>
      <c r="J119" s="806">
        <v>0.33462865589224128</v>
      </c>
      <c r="K119" s="68">
        <v>334610</v>
      </c>
      <c r="L119" s="68" t="s">
        <v>3428</v>
      </c>
      <c r="M119" s="69" t="s">
        <v>440</v>
      </c>
      <c r="N119" s="69" t="s">
        <v>757</v>
      </c>
      <c r="O119" s="70">
        <v>4.3093872857999996E-2</v>
      </c>
      <c r="P119" s="70">
        <v>2.085211335E-2</v>
      </c>
      <c r="Q119" s="70">
        <v>6.3956508960000005E-2</v>
      </c>
    </row>
    <row r="120" spans="3:17" ht="42.75">
      <c r="C120" s="321" t="s">
        <v>496</v>
      </c>
      <c r="D120" s="322"/>
      <c r="E120" s="783"/>
      <c r="F120" s="325"/>
      <c r="G120" s="319" t="str">
        <f>IFERROR(IF(E120="","",IF(F120="Direct-from-manufacturer",(E120*H120/1000*'Reporting Year &amp; Inflation Adj.'!$F$9),(E120*I120/1000*'Reporting Year &amp; Inflation Adj.'!$F$9))),"")</f>
        <v/>
      </c>
      <c r="H120" s="804">
        <v>0.44740177244999996</v>
      </c>
      <c r="I120" s="805">
        <v>0.47447582514000003</v>
      </c>
      <c r="J120" s="806">
        <v>5.8145629847125742E-2</v>
      </c>
      <c r="K120" s="68">
        <v>313200</v>
      </c>
      <c r="L120" s="68" t="s">
        <v>3429</v>
      </c>
      <c r="M120" s="69" t="s">
        <v>440</v>
      </c>
      <c r="N120" s="69" t="s">
        <v>498</v>
      </c>
      <c r="O120" s="70">
        <v>0.48375158421999997</v>
      </c>
      <c r="P120" s="70">
        <v>2.7607151759999997E-2</v>
      </c>
      <c r="Q120" s="70">
        <v>0.51101681122000009</v>
      </c>
    </row>
    <row r="121" spans="3:17" ht="57">
      <c r="C121" s="321" t="s">
        <v>677</v>
      </c>
      <c r="D121" s="322"/>
      <c r="E121" s="783"/>
      <c r="F121" s="325"/>
      <c r="G121" s="319" t="str">
        <f>IFERROR(IF(E121="","",IF(F121="Direct-from-manufacturer",(E121*H121/1000*'Reporting Year &amp; Inflation Adj.'!$F$9),(E121*I121/1000*'Reporting Year &amp; Inflation Adj.'!$F$9))),"")</f>
        <v/>
      </c>
      <c r="H121" s="804">
        <v>0.18887338980000004</v>
      </c>
      <c r="I121" s="805">
        <v>0.21273809792999998</v>
      </c>
      <c r="J121" s="806">
        <v>0.11260907596288953</v>
      </c>
      <c r="K121" s="68">
        <v>332996</v>
      </c>
      <c r="L121" s="68" t="s">
        <v>3430</v>
      </c>
      <c r="M121" s="69" t="s">
        <v>440</v>
      </c>
      <c r="N121" s="69" t="s">
        <v>671</v>
      </c>
      <c r="O121" s="70">
        <v>0.21266438655</v>
      </c>
      <c r="P121" s="70">
        <v>2.5964019610000007E-2</v>
      </c>
      <c r="Q121" s="70">
        <v>0.23913367726000001</v>
      </c>
    </row>
    <row r="122" spans="3:17" ht="28.5">
      <c r="C122" s="321" t="s">
        <v>1008</v>
      </c>
      <c r="D122" s="322"/>
      <c r="E122" s="783"/>
      <c r="F122" s="323" t="s">
        <v>366</v>
      </c>
      <c r="G122" s="319" t="str">
        <f>IFERROR(IF(E122="","",IF(F122="Direct-from-manufacturer",(E122*H122/1000*'Reporting Year &amp; Inflation Adj.'!$F$9),(E122*I122/1000*'Reporting Year &amp; Inflation Adj.'!$F$9))),"")</f>
        <v/>
      </c>
      <c r="H122" s="804">
        <v>0.17086394489000001</v>
      </c>
      <c r="I122" s="805">
        <v>0.17086394489000001</v>
      </c>
      <c r="J122" s="806">
        <v>0</v>
      </c>
      <c r="K122" s="68">
        <v>561200</v>
      </c>
      <c r="L122" s="68" t="s">
        <v>3431</v>
      </c>
      <c r="M122" s="69" t="s">
        <v>1006</v>
      </c>
      <c r="N122" s="69" t="s">
        <v>1010</v>
      </c>
      <c r="O122" s="70">
        <v>0.20056975323999995</v>
      </c>
      <c r="P122" s="70">
        <v>0</v>
      </c>
      <c r="Q122" s="70">
        <v>0.20056975323999995</v>
      </c>
    </row>
    <row r="123" spans="3:17" ht="57">
      <c r="C123" s="321" t="s">
        <v>679</v>
      </c>
      <c r="D123" s="322"/>
      <c r="E123" s="783"/>
      <c r="F123" s="325"/>
      <c r="G123" s="319" t="str">
        <f>IFERROR(IF(E123="","",IF(F123="Direct-from-manufacturer",(E123*H123/1000*'Reporting Year &amp; Inflation Adj.'!$F$9),(E123*I123/1000*'Reporting Year &amp; Inflation Adj.'!$F$9))),"")</f>
        <v/>
      </c>
      <c r="H123" s="804">
        <v>0.16523829909500001</v>
      </c>
      <c r="I123" s="805">
        <v>0.19166852136499998</v>
      </c>
      <c r="J123" s="806">
        <v>0.13678488709720632</v>
      </c>
      <c r="K123" s="68">
        <v>333111</v>
      </c>
      <c r="L123" s="68" t="s">
        <v>3432</v>
      </c>
      <c r="M123" s="69" t="s">
        <v>440</v>
      </c>
      <c r="N123" s="69" t="s">
        <v>681</v>
      </c>
      <c r="O123" s="70">
        <v>0.19201392064</v>
      </c>
      <c r="P123" s="70">
        <v>2.9566364049999995E-2</v>
      </c>
      <c r="Q123" s="70">
        <v>0.22128906178999999</v>
      </c>
    </row>
    <row r="124" spans="3:17" ht="57">
      <c r="C124" s="321" t="s">
        <v>559</v>
      </c>
      <c r="D124" s="322"/>
      <c r="E124" s="783"/>
      <c r="F124" s="325"/>
      <c r="G124" s="319" t="str">
        <f>IFERROR(IF(E124="","",IF(F124="Direct-from-manufacturer",(E124*H124/1000*'Reporting Year &amp; Inflation Adj.'!$F$9),(E124*I124/1000*'Reporting Year &amp; Inflation Adj.'!$F$9))),"")</f>
        <v/>
      </c>
      <c r="H124" s="804">
        <v>1.3099347086950004</v>
      </c>
      <c r="I124" s="805">
        <v>1.3455778888800001</v>
      </c>
      <c r="J124" s="806">
        <v>2.6753623768271086E-2</v>
      </c>
      <c r="K124" s="68">
        <v>325310</v>
      </c>
      <c r="L124" s="68" t="s">
        <v>3433</v>
      </c>
      <c r="M124" s="69" t="s">
        <v>440</v>
      </c>
      <c r="N124" s="69" t="s">
        <v>561</v>
      </c>
      <c r="O124" s="70">
        <v>1.11994197091</v>
      </c>
      <c r="P124" s="70">
        <v>2.3147570039999999E-2</v>
      </c>
      <c r="Q124" s="70">
        <v>1.1429245046600001</v>
      </c>
    </row>
    <row r="125" spans="3:17" ht="57">
      <c r="C125" s="321" t="s">
        <v>493</v>
      </c>
      <c r="D125" s="322"/>
      <c r="E125" s="783"/>
      <c r="F125" s="325"/>
      <c r="G125" s="319" t="str">
        <f>IFERROR(IF(E125="","",IF(F125="Direct-from-manufacturer",(E125*H125/1000*'Reporting Year &amp; Inflation Adj.'!$F$9),(E125*I125/1000*'Reporting Year &amp; Inflation Adj.'!$F$9))),"")</f>
        <v/>
      </c>
      <c r="H125" s="804">
        <v>0.62471326400999994</v>
      </c>
      <c r="I125" s="805">
        <v>0.65013709774999995</v>
      </c>
      <c r="J125" s="806">
        <v>3.9169844480698227E-2</v>
      </c>
      <c r="K125" s="68">
        <v>313100</v>
      </c>
      <c r="L125" s="68" t="s">
        <v>3434</v>
      </c>
      <c r="M125" s="69" t="s">
        <v>440</v>
      </c>
      <c r="N125" s="69" t="s">
        <v>495</v>
      </c>
      <c r="O125" s="70">
        <v>0.64486332693000004</v>
      </c>
      <c r="P125" s="70">
        <v>2.3504613450000007E-2</v>
      </c>
      <c r="Q125" s="70">
        <v>0.66845795864000002</v>
      </c>
    </row>
    <row r="126" spans="3:17" ht="42.75">
      <c r="C126" s="321" t="s">
        <v>499</v>
      </c>
      <c r="D126" s="322"/>
      <c r="E126" s="783"/>
      <c r="F126" s="325"/>
      <c r="G126" s="319" t="str">
        <f>IFERROR(IF(E126="","",IF(F126="Direct-from-manufacturer",(E126*H126/1000*'Reporting Year &amp; Inflation Adj.'!$F$9),(E126*I126/1000*'Reporting Year &amp; Inflation Adj.'!$F$9))),"")</f>
        <v/>
      </c>
      <c r="H126" s="804">
        <v>0.3594383605</v>
      </c>
      <c r="I126" s="805">
        <v>0.38638344068999997</v>
      </c>
      <c r="J126" s="806">
        <v>6.9301156416491885E-2</v>
      </c>
      <c r="K126" s="68">
        <v>313300</v>
      </c>
      <c r="L126" s="68" t="s">
        <v>3435</v>
      </c>
      <c r="M126" s="69" t="s">
        <v>440</v>
      </c>
      <c r="N126" s="69" t="s">
        <v>501</v>
      </c>
      <c r="O126" s="70">
        <v>0.37237954463999995</v>
      </c>
      <c r="P126" s="70">
        <v>2.6681963839999996E-2</v>
      </c>
      <c r="Q126" s="70">
        <v>0.39956357308000001</v>
      </c>
    </row>
    <row r="127" spans="3:17" ht="28.5">
      <c r="C127" s="321" t="s">
        <v>481</v>
      </c>
      <c r="D127" s="322"/>
      <c r="E127" s="783"/>
      <c r="F127" s="325"/>
      <c r="G127" s="319" t="str">
        <f>IFERROR(IF(E127="","",IF(F127="Direct-from-manufacturer",(E127*H127/1000*'Reporting Year &amp; Inflation Adj.'!$F$9),(E127*I127/1000*'Reporting Year &amp; Inflation Adj.'!$F$9))),"")</f>
        <v/>
      </c>
      <c r="H127" s="804">
        <v>0.16973710874</v>
      </c>
      <c r="I127" s="805">
        <v>0.18867540801999999</v>
      </c>
      <c r="J127" s="806">
        <v>0.10066293768389119</v>
      </c>
      <c r="K127" s="68">
        <v>311930</v>
      </c>
      <c r="L127" s="68" t="s">
        <v>3436</v>
      </c>
      <c r="M127" s="69" t="s">
        <v>440</v>
      </c>
      <c r="N127" s="69" t="s">
        <v>479</v>
      </c>
      <c r="O127" s="70">
        <v>0.19744773803999999</v>
      </c>
      <c r="P127" s="70">
        <v>2.0888745559999998E-2</v>
      </c>
      <c r="Q127" s="70">
        <v>0.21900679161</v>
      </c>
    </row>
    <row r="128" spans="3:17" ht="57">
      <c r="C128" s="321" t="s">
        <v>443</v>
      </c>
      <c r="D128" s="322"/>
      <c r="E128" s="783"/>
      <c r="F128" s="325"/>
      <c r="G128" s="319" t="str">
        <f>IFERROR(IF(E128="","",IF(F128="Direct-from-manufacturer",(E128*H128/1000*'Reporting Year &amp; Inflation Adj.'!$F$9),(E128*I128/1000*'Reporting Year &amp; Inflation Adj.'!$F$9))),"")</f>
        <v/>
      </c>
      <c r="H128" s="804">
        <v>0.73162483297000003</v>
      </c>
      <c r="I128" s="805">
        <v>0.77293645171000014</v>
      </c>
      <c r="J128" s="806">
        <v>5.2538367585277392E-2</v>
      </c>
      <c r="K128" s="68">
        <v>311210</v>
      </c>
      <c r="L128" s="68" t="s">
        <v>3437</v>
      </c>
      <c r="M128" s="69" t="s">
        <v>440</v>
      </c>
      <c r="N128" s="69" t="s">
        <v>445</v>
      </c>
      <c r="O128" s="70">
        <v>0.75033713416999992</v>
      </c>
      <c r="P128" s="70">
        <v>3.7412983170000018E-2</v>
      </c>
      <c r="Q128" s="70">
        <v>0.78723504238000019</v>
      </c>
    </row>
    <row r="129" spans="3:17" ht="71.25">
      <c r="C129" s="321" t="s">
        <v>749</v>
      </c>
      <c r="D129" s="322"/>
      <c r="E129" s="783"/>
      <c r="F129" s="325"/>
      <c r="G129" s="319" t="str">
        <f>IFERROR(IF(E129="","",IF(F129="Direct-from-manufacturer",(E129*H129/1000*'Reporting Year &amp; Inflation Adj.'!$F$9),(E129*I129/1000*'Reporting Year &amp; Inflation Adj.'!$F$9))),"")</f>
        <v/>
      </c>
      <c r="H129" s="804">
        <v>5.3515247904999994E-2</v>
      </c>
      <c r="I129" s="805">
        <v>7.2353586954999993E-2</v>
      </c>
      <c r="J129" s="806">
        <v>0.26024261708975016</v>
      </c>
      <c r="K129" s="68">
        <v>334514</v>
      </c>
      <c r="L129" s="68" t="s">
        <v>3438</v>
      </c>
      <c r="M129" s="69" t="s">
        <v>440</v>
      </c>
      <c r="N129" s="69" t="s">
        <v>745</v>
      </c>
      <c r="O129" s="70">
        <v>6.3092087460000001E-2</v>
      </c>
      <c r="P129" s="70">
        <v>2.1643966609999999E-2</v>
      </c>
      <c r="Q129" s="70">
        <v>8.4830302770000018E-2</v>
      </c>
    </row>
    <row r="130" spans="3:17" ht="28.5">
      <c r="C130" s="321" t="s">
        <v>457</v>
      </c>
      <c r="D130" s="322"/>
      <c r="E130" s="783"/>
      <c r="F130" s="325"/>
      <c r="G130" s="319" t="str">
        <f>IFERROR(IF(E130="","",IF(F130="Direct-from-manufacturer",(E130*H130/1000*'Reporting Year &amp; Inflation Adj.'!$F$9),(E130*I130/1000*'Reporting Year &amp; Inflation Adj.'!$F$9))),"")</f>
        <v/>
      </c>
      <c r="H130" s="804">
        <v>0.72199348914999995</v>
      </c>
      <c r="I130" s="805">
        <v>0.75884298389999993</v>
      </c>
      <c r="J130" s="806">
        <v>4.6132631997310887E-2</v>
      </c>
      <c r="K130" s="68" t="s">
        <v>458</v>
      </c>
      <c r="L130" s="68" t="s">
        <v>3439</v>
      </c>
      <c r="M130" s="69" t="s">
        <v>440</v>
      </c>
      <c r="N130" s="69" t="s">
        <v>459</v>
      </c>
      <c r="O130" s="70">
        <v>0.79821296141999998</v>
      </c>
      <c r="P130" s="70">
        <v>3.7350309179999999E-2</v>
      </c>
      <c r="Q130" s="70">
        <v>0.83557245466000007</v>
      </c>
    </row>
    <row r="131" spans="3:17" ht="71.25">
      <c r="C131" s="321" t="s">
        <v>888</v>
      </c>
      <c r="D131" s="322"/>
      <c r="E131" s="783"/>
      <c r="F131" s="323" t="s">
        <v>366</v>
      </c>
      <c r="G131" s="319" t="str">
        <f>IFERROR(IF(E131="","",IF(F131="Direct-from-manufacturer",(E131*H131/1000*'Reporting Year &amp; Inflation Adj.'!$F$9),(E131*I131/1000*'Reporting Year &amp; Inflation Adj.'!$F$9))),"")</f>
        <v/>
      </c>
      <c r="H131" s="804">
        <v>0.157260273895</v>
      </c>
      <c r="I131" s="805">
        <v>0.157260273895</v>
      </c>
      <c r="J131" s="806">
        <v>0</v>
      </c>
      <c r="K131" s="68">
        <v>445000</v>
      </c>
      <c r="L131" s="68" t="s">
        <v>3440</v>
      </c>
      <c r="M131" s="69" t="s">
        <v>882</v>
      </c>
      <c r="N131" s="69" t="s">
        <v>890</v>
      </c>
      <c r="O131" s="70">
        <v>0.18798449519000002</v>
      </c>
      <c r="P131" s="70">
        <v>0</v>
      </c>
      <c r="Q131" s="70">
        <v>0.18798449519000002</v>
      </c>
    </row>
    <row r="132" spans="3:17" ht="28.5">
      <c r="C132" s="321" t="s">
        <v>339</v>
      </c>
      <c r="D132" s="322"/>
      <c r="E132" s="783"/>
      <c r="F132" s="325"/>
      <c r="G132" s="319" t="str">
        <f>IFERROR(IF(E132="","",IF(F132="Direct-from-manufacturer",(E132*H132/1000*'Reporting Year &amp; Inflation Adj.'!$F$9),(E132*I132/1000*'Reporting Year &amp; Inflation Adj.'!$F$9))),"")</f>
        <v/>
      </c>
      <c r="H132" s="804">
        <v>0.40740199861000009</v>
      </c>
      <c r="I132" s="805">
        <v>0.46434377347999994</v>
      </c>
      <c r="J132" s="806">
        <v>0.12563164402486088</v>
      </c>
      <c r="K132" s="68">
        <v>111300</v>
      </c>
      <c r="L132" s="68" t="s">
        <v>3441</v>
      </c>
      <c r="M132" s="69" t="s">
        <v>332</v>
      </c>
      <c r="N132" s="69" t="s">
        <v>341</v>
      </c>
      <c r="O132" s="70">
        <v>0.43735892061800008</v>
      </c>
      <c r="P132" s="70">
        <v>6.0013690140000006E-2</v>
      </c>
      <c r="Q132" s="70">
        <v>0.49744570762000007</v>
      </c>
    </row>
    <row r="133" spans="3:17" ht="30">
      <c r="C133" s="321" t="s">
        <v>330</v>
      </c>
      <c r="D133" s="322"/>
      <c r="E133" s="783"/>
      <c r="F133" s="325"/>
      <c r="G133" s="319" t="str">
        <f>IFERROR(IF(E133="","",IF(F133="Direct-from-manufacturer",(E133*H133/1000*'Reporting Year &amp; Inflation Adj.'!$F$9),(E133*I133/1000*'Reporting Year &amp; Inflation Adj.'!$F$9))),"")</f>
        <v/>
      </c>
      <c r="H133" s="804">
        <v>0.73694746538000011</v>
      </c>
      <c r="I133" s="805">
        <v>0.80362551221</v>
      </c>
      <c r="J133" s="806">
        <v>8.4565909042769616E-2</v>
      </c>
      <c r="K133" s="68" t="s">
        <v>331</v>
      </c>
      <c r="L133" s="68" t="s">
        <v>3442</v>
      </c>
      <c r="M133" s="69" t="s">
        <v>332</v>
      </c>
      <c r="N133" s="69" t="s">
        <v>333</v>
      </c>
      <c r="O133" s="70">
        <v>0.49971133522300004</v>
      </c>
      <c r="P133" s="70">
        <v>4.4538186399999999E-2</v>
      </c>
      <c r="Q133" s="70">
        <v>0.54337086544999991</v>
      </c>
    </row>
    <row r="134" spans="3:17" ht="71.25">
      <c r="C134" s="321" t="s">
        <v>336</v>
      </c>
      <c r="D134" s="322"/>
      <c r="E134" s="783"/>
      <c r="F134" s="325"/>
      <c r="G134" s="319" t="str">
        <f>IFERROR(IF(E134="","",IF(F134="Direct-from-manufacturer",(E134*H134/1000*'Reporting Year &amp; Inflation Adj.'!$F$9),(E134*I134/1000*'Reporting Year &amp; Inflation Adj.'!$F$9))),"")</f>
        <v/>
      </c>
      <c r="H134" s="804">
        <v>0.41878737544999994</v>
      </c>
      <c r="I134" s="805">
        <v>0.46227078850999997</v>
      </c>
      <c r="J134" s="806">
        <v>9.1011815651617534E-2</v>
      </c>
      <c r="K134" s="68">
        <v>111200</v>
      </c>
      <c r="L134" s="68" t="s">
        <v>3443</v>
      </c>
      <c r="M134" s="69" t="s">
        <v>332</v>
      </c>
      <c r="N134" s="69" t="s">
        <v>338</v>
      </c>
      <c r="O134" s="70">
        <v>0.60396127396400012</v>
      </c>
      <c r="P134" s="70">
        <v>4.0912098650000006E-2</v>
      </c>
      <c r="Q134" s="70">
        <v>0.64390814572999999</v>
      </c>
    </row>
    <row r="135" spans="3:17" ht="30">
      <c r="C135" s="321" t="s">
        <v>334</v>
      </c>
      <c r="D135" s="322"/>
      <c r="E135" s="783"/>
      <c r="F135" s="325"/>
      <c r="G135" s="319" t="str">
        <f>IFERROR(IF(E135="","",IF(F135="Direct-from-manufacturer",(E135*H135/1000*'Reporting Year &amp; Inflation Adj.'!$F$9),(E135*I135/1000*'Reporting Year &amp; Inflation Adj.'!$F$9))),"")</f>
        <v/>
      </c>
      <c r="H135" s="804">
        <v>1.3795130098600001</v>
      </c>
      <c r="I135" s="805">
        <v>1.45854374683</v>
      </c>
      <c r="J135" s="806">
        <v>5.299231301974016E-2</v>
      </c>
      <c r="K135" s="68" t="s">
        <v>335</v>
      </c>
      <c r="L135" s="68" t="s">
        <v>3444</v>
      </c>
      <c r="M135" s="69" t="s">
        <v>332</v>
      </c>
      <c r="N135" s="69" t="s">
        <v>333</v>
      </c>
      <c r="O135" s="70">
        <v>0.831760555372</v>
      </c>
      <c r="P135" s="70">
        <v>4.0082110390000002E-2</v>
      </c>
      <c r="Q135" s="70">
        <v>0.87090928132000001</v>
      </c>
    </row>
    <row r="136" spans="3:17" ht="57">
      <c r="C136" s="321" t="s">
        <v>453</v>
      </c>
      <c r="D136" s="322"/>
      <c r="E136" s="783"/>
      <c r="F136" s="325"/>
      <c r="G136" s="319" t="str">
        <f>IFERROR(IF(E136="","",IF(F136="Direct-from-manufacturer",(E136*H136/1000*'Reporting Year &amp; Inflation Adj.'!$F$9),(E136*I136/1000*'Reporting Year &amp; Inflation Adj.'!$F$9))),"")</f>
        <v/>
      </c>
      <c r="H136" s="804">
        <v>0.33421150703000002</v>
      </c>
      <c r="I136" s="805">
        <v>0.37222373735000003</v>
      </c>
      <c r="J136" s="806">
        <v>0.10206616242552213</v>
      </c>
      <c r="K136" s="68">
        <v>311410</v>
      </c>
      <c r="L136" s="68" t="s">
        <v>3445</v>
      </c>
      <c r="M136" s="69" t="s">
        <v>440</v>
      </c>
      <c r="N136" s="69" t="s">
        <v>455</v>
      </c>
      <c r="O136" s="70">
        <v>0.44854113328</v>
      </c>
      <c r="P136" s="70">
        <v>4.7603554069999998E-2</v>
      </c>
      <c r="Q136" s="70">
        <v>0.49599838604000002</v>
      </c>
    </row>
    <row r="137" spans="3:17" ht="99.75">
      <c r="C137" s="321" t="s">
        <v>456</v>
      </c>
      <c r="D137" s="322"/>
      <c r="E137" s="783"/>
      <c r="F137" s="325"/>
      <c r="G137" s="319" t="str">
        <f>IFERROR(IF(E137="","",IF(F137="Direct-from-manufacturer",(E137*H137/1000*'Reporting Year &amp; Inflation Adj.'!$F$9),(E137*I137/1000*'Reporting Year &amp; Inflation Adj.'!$F$9))),"")</f>
        <v/>
      </c>
      <c r="H137" s="804">
        <v>0.29365492437000001</v>
      </c>
      <c r="I137" s="805">
        <v>0.3257043581500001</v>
      </c>
      <c r="J137" s="806">
        <v>9.9975989007195259E-2</v>
      </c>
      <c r="K137" s="68">
        <v>311420</v>
      </c>
      <c r="L137" s="68" t="s">
        <v>3446</v>
      </c>
      <c r="M137" s="69" t="s">
        <v>440</v>
      </c>
      <c r="N137" s="69" t="s">
        <v>455</v>
      </c>
      <c r="O137" s="70">
        <v>0.35071231139999998</v>
      </c>
      <c r="P137" s="70">
        <v>3.8451002290000001E-2</v>
      </c>
      <c r="Q137" s="70">
        <v>0.38904766325000001</v>
      </c>
    </row>
    <row r="138" spans="3:17" ht="71.25">
      <c r="C138" s="321" t="s">
        <v>1093</v>
      </c>
      <c r="D138" s="322"/>
      <c r="E138" s="783"/>
      <c r="F138" s="323" t="s">
        <v>366</v>
      </c>
      <c r="G138" s="319" t="str">
        <f>IFERROR(IF(E138="","",IF(F138="Direct-from-manufacturer",(E138*H138/1000*'Reporting Year &amp; Inflation Adj.'!$F$9),(E138*I138/1000*'Reporting Year &amp; Inflation Adj.'!$F$9))),"")</f>
        <v/>
      </c>
      <c r="H138" s="804">
        <v>0.16725874305999999</v>
      </c>
      <c r="I138" s="805">
        <v>0.16725874305999999</v>
      </c>
      <c r="J138" s="806">
        <v>0</v>
      </c>
      <c r="K138" s="68">
        <v>722110</v>
      </c>
      <c r="L138" s="68" t="s">
        <v>3447</v>
      </c>
      <c r="M138" s="69" t="s">
        <v>1088</v>
      </c>
      <c r="N138" s="69" t="s">
        <v>1094</v>
      </c>
      <c r="O138" s="70">
        <v>0.19687769694999999</v>
      </c>
      <c r="P138" s="70">
        <v>0</v>
      </c>
      <c r="Q138" s="70">
        <v>0.19687769694999999</v>
      </c>
    </row>
    <row r="139" spans="3:17" ht="171">
      <c r="C139" s="321" t="s">
        <v>961</v>
      </c>
      <c r="D139" s="322"/>
      <c r="E139" s="783"/>
      <c r="F139" s="323" t="s">
        <v>366</v>
      </c>
      <c r="G139" s="319" t="str">
        <f>IFERROR(IF(E139="","",IF(F139="Direct-from-manufacturer",(E139*H139/1000*'Reporting Year &amp; Inflation Adj.'!$F$9),(E139*I139/1000*'Reporting Year &amp; Inflation Adj.'!$F$9))),"")</f>
        <v/>
      </c>
      <c r="H139" s="804">
        <v>0.14756371610499999</v>
      </c>
      <c r="I139" s="805">
        <v>0.14756371610499999</v>
      </c>
      <c r="J139" s="806">
        <v>0</v>
      </c>
      <c r="K139" s="68">
        <v>525000</v>
      </c>
      <c r="L139" s="68" t="s">
        <v>3448</v>
      </c>
      <c r="M139" s="69" t="s">
        <v>943</v>
      </c>
      <c r="N139" s="69" t="s">
        <v>963</v>
      </c>
      <c r="O139" s="70">
        <v>0.21945636550900002</v>
      </c>
      <c r="P139" s="70">
        <v>0</v>
      </c>
      <c r="Q139" s="70">
        <v>0.21945636550900002</v>
      </c>
    </row>
    <row r="140" spans="3:17" ht="28.5">
      <c r="C140" s="321" t="s">
        <v>1109</v>
      </c>
      <c r="D140" s="322"/>
      <c r="E140" s="783"/>
      <c r="F140" s="323" t="s">
        <v>366</v>
      </c>
      <c r="G140" s="319" t="str">
        <f>IFERROR(IF(E140="","",IF(F140="Direct-from-manufacturer",(E140*H140/1000*'Reporting Year &amp; Inflation Adj.'!$F$9),(E140*I140/1000*'Reporting Year &amp; Inflation Adj.'!$F$9))),"")</f>
        <v/>
      </c>
      <c r="H140" s="804">
        <v>4.1644370780000009E-2</v>
      </c>
      <c r="I140" s="805">
        <v>4.1644370780000009E-2</v>
      </c>
      <c r="J140" s="806">
        <v>0</v>
      </c>
      <c r="K140" s="68">
        <v>812200</v>
      </c>
      <c r="L140" s="68" t="s">
        <v>3449</v>
      </c>
      <c r="M140" s="69" t="s">
        <v>1098</v>
      </c>
      <c r="N140" s="69" t="s">
        <v>1110</v>
      </c>
      <c r="O140" s="70">
        <v>4.6973109132E-2</v>
      </c>
      <c r="P140" s="70">
        <v>0</v>
      </c>
      <c r="Q140" s="70">
        <v>4.6973109132E-2</v>
      </c>
    </row>
    <row r="141" spans="3:17" ht="57">
      <c r="C141" s="321" t="s">
        <v>1083</v>
      </c>
      <c r="D141" s="322"/>
      <c r="E141" s="783"/>
      <c r="F141" s="323" t="s">
        <v>366</v>
      </c>
      <c r="G141" s="319" t="str">
        <f>IFERROR(IF(E141="","",IF(F141="Direct-from-manufacturer",(E141*H141/1000*'Reporting Year &amp; Inflation Adj.'!$F$9),(E141*I141/1000*'Reporting Year &amp; Inflation Adj.'!$F$9))),"")</f>
        <v/>
      </c>
      <c r="H141" s="804">
        <v>0.14357612383000001</v>
      </c>
      <c r="I141" s="805">
        <v>0.14357612383000001</v>
      </c>
      <c r="J141" s="806">
        <v>0</v>
      </c>
      <c r="K141" s="68">
        <v>713200</v>
      </c>
      <c r="L141" s="68" t="s">
        <v>3450</v>
      </c>
      <c r="M141" s="69" t="s">
        <v>1071</v>
      </c>
      <c r="N141" s="69" t="s">
        <v>1084</v>
      </c>
      <c r="O141" s="70">
        <v>0.17613275116999993</v>
      </c>
      <c r="P141" s="70">
        <v>0</v>
      </c>
      <c r="Q141" s="70">
        <v>0.17613275116999993</v>
      </c>
    </row>
    <row r="142" spans="3:17" ht="60">
      <c r="C142" s="321" t="s">
        <v>850</v>
      </c>
      <c r="D142" s="322"/>
      <c r="E142" s="783"/>
      <c r="F142" s="325"/>
      <c r="G142" s="319" t="str">
        <f>IFERROR(IF(E142="","",IF(F142="Direct-from-manufacturer",(E142*H142/1000*'Reporting Year &amp; Inflation Adj.'!$F$9),(E142*I142/1000*'Reporting Year &amp; Inflation Adj.'!$F$9))),"")</f>
        <v/>
      </c>
      <c r="H142" s="804">
        <v>0.10371485095500001</v>
      </c>
      <c r="I142" s="805">
        <v>0.1588236193</v>
      </c>
      <c r="J142" s="806">
        <v>0.34567938161197664</v>
      </c>
      <c r="K142" s="68">
        <v>339990</v>
      </c>
      <c r="L142" s="68" t="s">
        <v>3451</v>
      </c>
      <c r="M142" s="69" t="s">
        <v>440</v>
      </c>
      <c r="N142" s="69" t="s">
        <v>845</v>
      </c>
      <c r="O142" s="70">
        <v>0.12198640546999996</v>
      </c>
      <c r="P142" s="70">
        <v>6.16590386E-2</v>
      </c>
      <c r="Q142" s="70">
        <v>0.18335963027000002</v>
      </c>
    </row>
    <row r="143" spans="3:17" ht="28.5">
      <c r="C143" s="321" t="s">
        <v>893</v>
      </c>
      <c r="D143" s="322"/>
      <c r="E143" s="783"/>
      <c r="F143" s="323" t="s">
        <v>366</v>
      </c>
      <c r="G143" s="319" t="str">
        <f>IFERROR(IF(E143="","",IF(F143="Direct-from-manufacturer",(E143*H143/1000*'Reporting Year &amp; Inflation Adj.'!$F$9),(E143*I143/1000*'Reporting Year &amp; Inflation Adj.'!$F$9))),"")</f>
        <v/>
      </c>
      <c r="H143" s="804">
        <v>0.16736485937500001</v>
      </c>
      <c r="I143" s="805">
        <v>0.16736485937500001</v>
      </c>
      <c r="J143" s="806">
        <v>0</v>
      </c>
      <c r="K143" s="68">
        <v>447000</v>
      </c>
      <c r="L143" s="68" t="s">
        <v>3452</v>
      </c>
      <c r="M143" s="69" t="s">
        <v>882</v>
      </c>
      <c r="N143" s="69" t="s">
        <v>894</v>
      </c>
      <c r="O143" s="70">
        <v>0.18477587400999998</v>
      </c>
      <c r="P143" s="70">
        <v>0</v>
      </c>
      <c r="Q143" s="70">
        <v>0.18477587400999998</v>
      </c>
    </row>
    <row r="144" spans="3:17" ht="42.75">
      <c r="C144" s="321" t="s">
        <v>542</v>
      </c>
      <c r="D144" s="322"/>
      <c r="E144" s="783"/>
      <c r="F144" s="325"/>
      <c r="G144" s="319" t="str">
        <f>IFERROR(IF(E144="","",IF(F144="Direct-from-manufacturer",(E144*H144/1000*'Reporting Year &amp; Inflation Adj.'!$F$9),(E144*I144/1000*'Reporting Year &amp; Inflation Adj.'!$F$9))),"")</f>
        <v/>
      </c>
      <c r="H144" s="804">
        <v>0.37961026754500005</v>
      </c>
      <c r="I144" s="805">
        <v>0.41401863525499999</v>
      </c>
      <c r="J144" s="806">
        <v>8.3536504241404949E-2</v>
      </c>
      <c r="K144" s="68">
        <v>324110</v>
      </c>
      <c r="L144" s="68" t="s">
        <v>3453</v>
      </c>
      <c r="M144" s="69" t="s">
        <v>440</v>
      </c>
      <c r="N144" s="69" t="s">
        <v>544</v>
      </c>
      <c r="O144" s="70">
        <v>0.25353676877199999</v>
      </c>
      <c r="P144" s="70">
        <v>2.1828799810000004E-2</v>
      </c>
      <c r="Q144" s="70">
        <v>0.27500488003999995</v>
      </c>
    </row>
    <row r="145" spans="3:17" ht="71.25">
      <c r="C145" s="321" t="s">
        <v>897</v>
      </c>
      <c r="D145" s="322"/>
      <c r="E145" s="783"/>
      <c r="F145" s="323" t="s">
        <v>366</v>
      </c>
      <c r="G145" s="319" t="str">
        <f>IFERROR(IF(E145="","",IF(F145="Direct-from-manufacturer",(E145*H145/1000*'Reporting Year &amp; Inflation Adj.'!$F$9),(E145*I145/1000*'Reporting Year &amp; Inflation Adj.'!$F$9))),"")</f>
        <v/>
      </c>
      <c r="H145" s="804">
        <v>0.14470529550000003</v>
      </c>
      <c r="I145" s="805">
        <v>0.14470529550000003</v>
      </c>
      <c r="J145" s="806">
        <v>0</v>
      </c>
      <c r="K145" s="68">
        <v>452000</v>
      </c>
      <c r="L145" s="68" t="s">
        <v>3454</v>
      </c>
      <c r="M145" s="69" t="s">
        <v>882</v>
      </c>
      <c r="N145" s="69" t="s">
        <v>899</v>
      </c>
      <c r="O145" s="70">
        <v>0.16523679402999999</v>
      </c>
      <c r="P145" s="70">
        <v>0</v>
      </c>
      <c r="Q145" s="70">
        <v>0.16523679402999999</v>
      </c>
    </row>
    <row r="146" spans="3:17" ht="42.75">
      <c r="C146" s="321" t="s">
        <v>599</v>
      </c>
      <c r="D146" s="322"/>
      <c r="E146" s="783"/>
      <c r="F146" s="325"/>
      <c r="G146" s="319" t="str">
        <f>IFERROR(IF(E146="","",IF(F146="Direct-from-manufacturer",(E146*H146/1000*'Reporting Year &amp; Inflation Adj.'!$F$9),(E146*I146/1000*'Reporting Year &amp; Inflation Adj.'!$F$9))),"")</f>
        <v/>
      </c>
      <c r="H146" s="804">
        <v>0.44045211016000008</v>
      </c>
      <c r="I146" s="805">
        <v>0.49574145361999999</v>
      </c>
      <c r="J146" s="806">
        <v>0.11053025303791014</v>
      </c>
      <c r="K146" s="68">
        <v>327200</v>
      </c>
      <c r="L146" s="68" t="s">
        <v>3455</v>
      </c>
      <c r="M146" s="69" t="s">
        <v>440</v>
      </c>
      <c r="N146" s="69" t="s">
        <v>601</v>
      </c>
      <c r="O146" s="70">
        <v>0.53889187302999997</v>
      </c>
      <c r="P146" s="70">
        <v>6.023604028E-2</v>
      </c>
      <c r="Q146" s="70">
        <v>0.59982620883000015</v>
      </c>
    </row>
    <row r="147" spans="3:17" ht="45">
      <c r="C147" s="321" t="s">
        <v>1085</v>
      </c>
      <c r="D147" s="322"/>
      <c r="E147" s="783"/>
      <c r="F147" s="323" t="s">
        <v>366</v>
      </c>
      <c r="G147" s="319" t="str">
        <f>IFERROR(IF(E147="","",IF(F147="Direct-from-manufacturer",(E147*H147/1000*'Reporting Year &amp; Inflation Adj.'!$F$9),(E147*I147/1000*'Reporting Year &amp; Inflation Adj.'!$F$9))),"")</f>
        <v/>
      </c>
      <c r="H147" s="804">
        <v>0.20184980294999996</v>
      </c>
      <c r="I147" s="805">
        <v>0.20184980294999996</v>
      </c>
      <c r="J147" s="806">
        <v>0</v>
      </c>
      <c r="K147" s="68">
        <v>713900</v>
      </c>
      <c r="L147" s="68" t="s">
        <v>3456</v>
      </c>
      <c r="M147" s="69" t="s">
        <v>1071</v>
      </c>
      <c r="N147" s="69" t="s">
        <v>1086</v>
      </c>
      <c r="O147" s="70">
        <v>0.23801425794</v>
      </c>
      <c r="P147" s="70">
        <v>0</v>
      </c>
      <c r="Q147" s="70">
        <v>0.23801425794</v>
      </c>
    </row>
    <row r="148" spans="3:17" ht="156.75">
      <c r="C148" s="321" t="s">
        <v>1117</v>
      </c>
      <c r="D148" s="322"/>
      <c r="E148" s="783"/>
      <c r="F148" s="323" t="s">
        <v>366</v>
      </c>
      <c r="G148" s="319" t="str">
        <f>IFERROR(IF(E148="","",IF(F148="Direct-from-manufacturer",(E148*H148/1000*'Reporting Year &amp; Inflation Adj.'!$F$9),(E148*I148/1000*'Reporting Year &amp; Inflation Adj.'!$F$9))),"")</f>
        <v/>
      </c>
      <c r="H148" s="804">
        <v>5.2428732545000002E-2</v>
      </c>
      <c r="I148" s="805">
        <v>5.2428732545000002E-2</v>
      </c>
      <c r="J148" s="806">
        <v>0</v>
      </c>
      <c r="K148" s="68" t="s">
        <v>1118</v>
      </c>
      <c r="L148" s="68" t="s">
        <v>3375</v>
      </c>
      <c r="M148" s="69" t="s">
        <v>1098</v>
      </c>
      <c r="N148" s="69" t="s">
        <v>1119</v>
      </c>
      <c r="O148" s="70">
        <v>5.9472141980000004E-2</v>
      </c>
      <c r="P148" s="70">
        <v>0</v>
      </c>
      <c r="Q148" s="70">
        <v>5.9472141980000004E-2</v>
      </c>
    </row>
    <row r="149" spans="3:17" ht="71.25">
      <c r="C149" s="321" t="s">
        <v>342</v>
      </c>
      <c r="D149" s="322"/>
      <c r="E149" s="783"/>
      <c r="F149" s="325"/>
      <c r="G149" s="319" t="str">
        <f>IFERROR(IF(E149="","",IF(F149="Direct-from-manufacturer",(E149*H149/1000*'Reporting Year &amp; Inflation Adj.'!$F$9),(E149*I149/1000*'Reporting Year &amp; Inflation Adj.'!$F$9))),"")</f>
        <v/>
      </c>
      <c r="H149" s="804">
        <v>0.33688063908000004</v>
      </c>
      <c r="I149" s="805">
        <v>0.39886341006500003</v>
      </c>
      <c r="J149" s="806">
        <v>0.15661688556445899</v>
      </c>
      <c r="K149" s="68">
        <v>111400</v>
      </c>
      <c r="L149" s="68" t="s">
        <v>3457</v>
      </c>
      <c r="M149" s="69" t="s">
        <v>332</v>
      </c>
      <c r="N149" s="69" t="s">
        <v>344</v>
      </c>
      <c r="O149" s="70">
        <v>0.27121002818100004</v>
      </c>
      <c r="P149" s="70">
        <v>4.1388523110000006E-2</v>
      </c>
      <c r="Q149" s="70">
        <v>0.31248065887999998</v>
      </c>
    </row>
    <row r="150" spans="3:17" ht="85.5">
      <c r="C150" s="321" t="s">
        <v>871</v>
      </c>
      <c r="D150" s="322"/>
      <c r="E150" s="783"/>
      <c r="F150" s="323" t="s">
        <v>366</v>
      </c>
      <c r="G150" s="319" t="str">
        <f>IFERROR(IF(E150="","",IF(F150="Direct-from-manufacturer",(E150*H150/1000*'Reporting Year &amp; Inflation Adj.'!$F$9),(E150*I150/1000*'Reporting Year &amp; Inflation Adj.'!$F$9))),"")</f>
        <v/>
      </c>
      <c r="H150" s="804">
        <v>0.12886679369999998</v>
      </c>
      <c r="I150" s="805">
        <v>0.12886679369999998</v>
      </c>
      <c r="J150" s="806">
        <v>0</v>
      </c>
      <c r="K150" s="68">
        <v>424400</v>
      </c>
      <c r="L150" s="68" t="s">
        <v>3458</v>
      </c>
      <c r="M150" s="69" t="s">
        <v>853</v>
      </c>
      <c r="N150" s="69" t="s">
        <v>873</v>
      </c>
      <c r="O150" s="70">
        <v>0.16242693879999995</v>
      </c>
      <c r="P150" s="70">
        <v>0</v>
      </c>
      <c r="Q150" s="70">
        <v>0.16242693879999995</v>
      </c>
    </row>
    <row r="151" spans="3:17" ht="57">
      <c r="C151" s="321" t="s">
        <v>615</v>
      </c>
      <c r="D151" s="322"/>
      <c r="E151" s="783"/>
      <c r="F151" s="325"/>
      <c r="G151" s="319" t="str">
        <f>IFERROR(IF(E151="","",IF(F151="Direct-from-manufacturer",(E151*H151/1000*'Reporting Year &amp; Inflation Adj.'!$F$9),(E151*I151/1000*'Reporting Year &amp; Inflation Adj.'!$F$9))),"")</f>
        <v/>
      </c>
      <c r="H151" s="804">
        <v>0.30971135005500006</v>
      </c>
      <c r="I151" s="805">
        <v>0.42770599726999997</v>
      </c>
      <c r="J151" s="806">
        <v>0.27387049001572678</v>
      </c>
      <c r="K151" s="68">
        <v>327992</v>
      </c>
      <c r="L151" s="68" t="s">
        <v>3459</v>
      </c>
      <c r="M151" s="69" t="s">
        <v>440</v>
      </c>
      <c r="N151" s="69" t="s">
        <v>613</v>
      </c>
      <c r="O151" s="70">
        <v>0.37749026132000002</v>
      </c>
      <c r="P151" s="70">
        <v>0.122086654819</v>
      </c>
      <c r="Q151" s="70">
        <v>0.49949013695</v>
      </c>
    </row>
    <row r="152" spans="3:17" ht="42.75">
      <c r="C152" s="321" t="s">
        <v>805</v>
      </c>
      <c r="D152" s="322"/>
      <c r="E152" s="783"/>
      <c r="F152" s="325"/>
      <c r="G152" s="319" t="str">
        <f>IFERROR(IF(E152="","",IF(F152="Direct-from-manufacturer",(E152*H152/1000*'Reporting Year &amp; Inflation Adj.'!$F$9),(E152*I152/1000*'Reporting Year &amp; Inflation Adj.'!$F$9))),"")</f>
        <v/>
      </c>
      <c r="H152" s="804">
        <v>0.12271119741</v>
      </c>
      <c r="I152" s="805">
        <v>0.13186056723000003</v>
      </c>
      <c r="J152" s="806">
        <v>6.3276694490828025E-2</v>
      </c>
      <c r="K152" s="68">
        <v>336414</v>
      </c>
      <c r="L152" s="68" t="s">
        <v>3460</v>
      </c>
      <c r="M152" s="69" t="s">
        <v>440</v>
      </c>
      <c r="N152" s="69" t="s">
        <v>802</v>
      </c>
      <c r="O152" s="70">
        <v>0.13428172276999997</v>
      </c>
      <c r="P152" s="70">
        <v>8.6316506249999973E-3</v>
      </c>
      <c r="Q152" s="70">
        <v>0.14262741947000002</v>
      </c>
    </row>
    <row r="153" spans="3:17" ht="28.5">
      <c r="C153" s="321" t="s">
        <v>891</v>
      </c>
      <c r="D153" s="322"/>
      <c r="E153" s="783"/>
      <c r="F153" s="323" t="s">
        <v>366</v>
      </c>
      <c r="G153" s="319" t="str">
        <f>IFERROR(IF(E153="","",IF(F153="Direct-from-manufacturer",(E153*H153/1000*'Reporting Year &amp; Inflation Adj.'!$F$9),(E153*I153/1000*'Reporting Year &amp; Inflation Adj.'!$F$9))),"")</f>
        <v/>
      </c>
      <c r="H153" s="804">
        <v>0.12587077056500001</v>
      </c>
      <c r="I153" s="805">
        <v>0.12587077056500001</v>
      </c>
      <c r="J153" s="806">
        <v>0</v>
      </c>
      <c r="K153" s="68">
        <v>446000</v>
      </c>
      <c r="L153" s="68" t="s">
        <v>3461</v>
      </c>
      <c r="M153" s="69" t="s">
        <v>882</v>
      </c>
      <c r="N153" s="69" t="s">
        <v>892</v>
      </c>
      <c r="O153" s="70">
        <v>0.13086501567999997</v>
      </c>
      <c r="P153" s="70">
        <v>0</v>
      </c>
      <c r="Q153" s="70">
        <v>0.13086501567999997</v>
      </c>
    </row>
    <row r="154" spans="3:17" ht="30">
      <c r="C154" s="321" t="s">
        <v>1043</v>
      </c>
      <c r="D154" s="322"/>
      <c r="E154" s="783"/>
      <c r="F154" s="323" t="s">
        <v>366</v>
      </c>
      <c r="G154" s="319" t="str">
        <f>IFERROR(IF(E154="","",IF(F154="Direct-from-manufacturer",(E154*H154/1000*'Reporting Year &amp; Inflation Adj.'!$F$9),(E154*I154/1000*'Reporting Year &amp; Inflation Adj.'!$F$9))),"")</f>
        <v/>
      </c>
      <c r="H154" s="804">
        <v>9.6783573419999991E-2</v>
      </c>
      <c r="I154" s="805">
        <v>9.6783573419999991E-2</v>
      </c>
      <c r="J154" s="806">
        <v>0</v>
      </c>
      <c r="K154" s="68">
        <v>621300</v>
      </c>
      <c r="L154" s="68" t="s">
        <v>3462</v>
      </c>
      <c r="M154" s="69" t="s">
        <v>1038</v>
      </c>
      <c r="N154" s="69" t="s">
        <v>1045</v>
      </c>
      <c r="O154" s="70">
        <v>0.10598779418999998</v>
      </c>
      <c r="P154" s="70">
        <v>0</v>
      </c>
      <c r="Q154" s="70">
        <v>0.10598779418999998</v>
      </c>
    </row>
    <row r="155" spans="3:17" ht="99.75">
      <c r="C155" s="321" t="s">
        <v>698</v>
      </c>
      <c r="D155" s="322"/>
      <c r="E155" s="783"/>
      <c r="F155" s="325"/>
      <c r="G155" s="319" t="str">
        <f>IFERROR(IF(E155="","",IF(F155="Direct-from-manufacturer",(E155*H155/1000*'Reporting Year &amp; Inflation Adj.'!$F$9),(E155*I155/1000*'Reporting Year &amp; Inflation Adj.'!$F$9))),"")</f>
        <v/>
      </c>
      <c r="H155" s="804">
        <v>0.11045900170499999</v>
      </c>
      <c r="I155" s="805">
        <v>0.14264472157499999</v>
      </c>
      <c r="J155" s="806">
        <v>0.22203466360546259</v>
      </c>
      <c r="K155" s="68">
        <v>333414</v>
      </c>
      <c r="L155" s="68" t="s">
        <v>3463</v>
      </c>
      <c r="M155" s="69" t="s">
        <v>440</v>
      </c>
      <c r="N155" s="69" t="s">
        <v>697</v>
      </c>
      <c r="O155" s="70">
        <v>0.13868294348999999</v>
      </c>
      <c r="P155" s="70">
        <v>3.8823331930000003E-2</v>
      </c>
      <c r="Q155" s="70">
        <v>0.17722039071000001</v>
      </c>
    </row>
    <row r="156" spans="3:17" ht="57">
      <c r="C156" s="321" t="s">
        <v>783</v>
      </c>
      <c r="D156" s="322"/>
      <c r="E156" s="783"/>
      <c r="F156" s="325"/>
      <c r="G156" s="319" t="str">
        <f>IFERROR(IF(E156="","",IF(F156="Direct-from-manufacturer",(E156*H156/1000*'Reporting Year &amp; Inflation Adj.'!$F$9),(E156*I156/1000*'Reporting Year &amp; Inflation Adj.'!$F$9))),"")</f>
        <v/>
      </c>
      <c r="H156" s="804">
        <v>0.23802552204999999</v>
      </c>
      <c r="I156" s="805">
        <v>0.24855214950000001</v>
      </c>
      <c r="J156" s="806">
        <v>4.0894398115032191E-2</v>
      </c>
      <c r="K156" s="68">
        <v>336120</v>
      </c>
      <c r="L156" s="68" t="s">
        <v>3464</v>
      </c>
      <c r="M156" s="69" t="s">
        <v>440</v>
      </c>
      <c r="N156" s="69" t="s">
        <v>781</v>
      </c>
      <c r="O156" s="70">
        <v>0.26406660048000002</v>
      </c>
      <c r="P156" s="70">
        <v>1.0717657366000001E-2</v>
      </c>
      <c r="Q156" s="70">
        <v>0.27482329713999992</v>
      </c>
    </row>
    <row r="157" spans="3:17" ht="57">
      <c r="C157" s="321" t="s">
        <v>654</v>
      </c>
      <c r="D157" s="322"/>
      <c r="E157" s="783"/>
      <c r="F157" s="325"/>
      <c r="G157" s="319" t="str">
        <f>IFERROR(IF(E157="","",IF(F157="Direct-from-manufacturer",(E157*H157/1000*'Reporting Year &amp; Inflation Adj.'!$F$9),(E157*I157/1000*'Reporting Year &amp; Inflation Adj.'!$F$9))),"")</f>
        <v/>
      </c>
      <c r="H157" s="804">
        <v>0.21624735343000001</v>
      </c>
      <c r="I157" s="805">
        <v>0.22665565005000005</v>
      </c>
      <c r="J157" s="806">
        <v>4.6667844632007217E-2</v>
      </c>
      <c r="K157" s="68">
        <v>332420</v>
      </c>
      <c r="L157" s="68" t="s">
        <v>3465</v>
      </c>
      <c r="M157" s="69" t="s">
        <v>440</v>
      </c>
      <c r="N157" s="69" t="s">
        <v>653</v>
      </c>
      <c r="O157" s="70">
        <v>0.26830507997999997</v>
      </c>
      <c r="P157" s="70">
        <v>1.1998914017E-2</v>
      </c>
      <c r="Q157" s="70">
        <v>0.28009776600999997</v>
      </c>
    </row>
    <row r="158" spans="3:17" ht="42.75">
      <c r="C158" s="321" t="s">
        <v>407</v>
      </c>
      <c r="D158" s="322"/>
      <c r="E158" s="783"/>
      <c r="F158" s="323" t="s">
        <v>366</v>
      </c>
      <c r="G158" s="319" t="str">
        <f>IFERROR(IF(E158="","",IF(F158="Direct-from-manufacturer",(E158*H158/1000*'Reporting Year &amp; Inflation Adj.'!$F$9),(E158*I158/1000*'Reporting Year &amp; Inflation Adj.'!$F$9))),"")</f>
        <v/>
      </c>
      <c r="H158" s="804">
        <v>0.23015431373499992</v>
      </c>
      <c r="I158" s="805">
        <v>0.23015431373499992</v>
      </c>
      <c r="J158" s="806">
        <v>0</v>
      </c>
      <c r="K158" s="68" t="s">
        <v>3716</v>
      </c>
      <c r="L158" s="68" t="s">
        <v>3466</v>
      </c>
      <c r="M158" s="69" t="s">
        <v>397</v>
      </c>
      <c r="N158" s="69" t="s">
        <v>1639</v>
      </c>
      <c r="O158" s="70">
        <v>0.25626405107999994</v>
      </c>
      <c r="P158" s="70">
        <v>0</v>
      </c>
      <c r="Q158" s="70">
        <v>0.25626405107999994</v>
      </c>
    </row>
    <row r="159" spans="3:17" ht="57">
      <c r="C159" s="321" t="s">
        <v>825</v>
      </c>
      <c r="D159" s="322"/>
      <c r="E159" s="783"/>
      <c r="F159" s="325"/>
      <c r="G159" s="319" t="str">
        <f>IFERROR(IF(E159="","",IF(F159="Direct-from-manufacturer",(E159*H159/1000*'Reporting Year &amp; Inflation Adj.'!$F$9),(E159*I159/1000*'Reporting Year &amp; Inflation Adj.'!$F$9))),"")</f>
        <v/>
      </c>
      <c r="H159" s="804">
        <v>0.16184776917999993</v>
      </c>
      <c r="I159" s="805">
        <v>0.22000934945</v>
      </c>
      <c r="J159" s="806">
        <v>0.26437608504096238</v>
      </c>
      <c r="K159" s="68" t="s">
        <v>826</v>
      </c>
      <c r="L159" s="68" t="s">
        <v>3467</v>
      </c>
      <c r="M159" s="69" t="s">
        <v>440</v>
      </c>
      <c r="N159" s="69" t="s">
        <v>822</v>
      </c>
      <c r="O159" s="70">
        <v>0.16960555661999999</v>
      </c>
      <c r="P159" s="70">
        <v>5.9420953670000005E-2</v>
      </c>
      <c r="Q159" s="70">
        <v>0.2293223925</v>
      </c>
    </row>
    <row r="160" spans="3:17" ht="57">
      <c r="C160" s="321" t="s">
        <v>823</v>
      </c>
      <c r="D160" s="322"/>
      <c r="E160" s="783"/>
      <c r="F160" s="325"/>
      <c r="G160" s="319" t="str">
        <f>IFERROR(IF(E160="","",IF(F160="Direct-from-manufacturer",(E160*H160/1000*'Reporting Year &amp; Inflation Adj.'!$F$9),(E160*I160/1000*'Reporting Year &amp; Inflation Adj.'!$F$9))),"")</f>
        <v/>
      </c>
      <c r="H160" s="804">
        <v>0.12166806788999998</v>
      </c>
      <c r="I160" s="805">
        <v>0.17496030729999995</v>
      </c>
      <c r="J160" s="806">
        <v>0.30160092997276078</v>
      </c>
      <c r="K160" s="68">
        <v>337121</v>
      </c>
      <c r="L160" s="68" t="s">
        <v>3468</v>
      </c>
      <c r="M160" s="69" t="s">
        <v>440</v>
      </c>
      <c r="N160" s="69" t="s">
        <v>822</v>
      </c>
      <c r="O160" s="70">
        <v>0.13344645305000002</v>
      </c>
      <c r="P160" s="70">
        <v>5.5769043589999998E-2</v>
      </c>
      <c r="Q160" s="70">
        <v>0.18964391036</v>
      </c>
    </row>
    <row r="161" spans="3:17" ht="57">
      <c r="C161" s="321" t="s">
        <v>824</v>
      </c>
      <c r="D161" s="322"/>
      <c r="E161" s="783"/>
      <c r="F161" s="325"/>
      <c r="G161" s="319" t="str">
        <f>IFERROR(IF(E161="","",IF(F161="Direct-from-manufacturer",(E161*H161/1000*'Reporting Year &amp; Inflation Adj.'!$F$9),(E161*I161/1000*'Reporting Year &amp; Inflation Adj.'!$F$9))),"")</f>
        <v/>
      </c>
      <c r="H161" s="804">
        <v>0.10982025997</v>
      </c>
      <c r="I161" s="805">
        <v>0.163704092375</v>
      </c>
      <c r="J161" s="806">
        <v>0.33042138971756418</v>
      </c>
      <c r="K161" s="68">
        <v>337122</v>
      </c>
      <c r="L161" s="68" t="s">
        <v>3469</v>
      </c>
      <c r="M161" s="69" t="s">
        <v>440</v>
      </c>
      <c r="N161" s="69" t="s">
        <v>822</v>
      </c>
      <c r="O161" s="70">
        <v>0.12120145026</v>
      </c>
      <c r="P161" s="70">
        <v>5.7639807170000001E-2</v>
      </c>
      <c r="Q161" s="70">
        <v>0.17864038063000001</v>
      </c>
    </row>
    <row r="162" spans="3:17" ht="71.25">
      <c r="C162" s="321" t="s">
        <v>1051</v>
      </c>
      <c r="D162" s="322"/>
      <c r="E162" s="783"/>
      <c r="F162" s="323" t="s">
        <v>366</v>
      </c>
      <c r="G162" s="319" t="str">
        <f>IFERROR(IF(E162="","",IF(F162="Direct-from-manufacturer",(E162*H162/1000*'Reporting Year &amp; Inflation Adj.'!$F$9),(E162*I162/1000*'Reporting Year &amp; Inflation Adj.'!$F$9))),"")</f>
        <v/>
      </c>
      <c r="H162" s="804">
        <v>9.159669832999999E-2</v>
      </c>
      <c r="I162" s="805">
        <v>9.159669832999999E-2</v>
      </c>
      <c r="J162" s="806">
        <v>0</v>
      </c>
      <c r="K162" s="68">
        <v>621600</v>
      </c>
      <c r="L162" s="68" t="s">
        <v>3470</v>
      </c>
      <c r="M162" s="69" t="s">
        <v>1038</v>
      </c>
      <c r="N162" s="69" t="s">
        <v>1052</v>
      </c>
      <c r="O162" s="70">
        <v>0.10534980175</v>
      </c>
      <c r="P162" s="70">
        <v>0</v>
      </c>
      <c r="Q162" s="70">
        <v>0.10534980175</v>
      </c>
    </row>
    <row r="163" spans="3:17" ht="85.5">
      <c r="C163" s="321" t="s">
        <v>1055</v>
      </c>
      <c r="D163" s="322"/>
      <c r="E163" s="783"/>
      <c r="F163" s="323" t="s">
        <v>366</v>
      </c>
      <c r="G163" s="319" t="str">
        <f>IFERROR(IF(E163="","",IF(F163="Direct-from-manufacturer",(E163*H163/1000*'Reporting Year &amp; Inflation Adj.'!$F$9),(E163*I163/1000*'Reporting Year &amp; Inflation Adj.'!$F$9))),"")</f>
        <v/>
      </c>
      <c r="H163" s="804">
        <v>0.1286698174</v>
      </c>
      <c r="I163" s="805">
        <v>0.1286698174</v>
      </c>
      <c r="J163" s="806">
        <v>0</v>
      </c>
      <c r="K163" s="68">
        <v>622000</v>
      </c>
      <c r="L163" s="68" t="s">
        <v>3471</v>
      </c>
      <c r="M163" s="69" t="s">
        <v>1038</v>
      </c>
      <c r="N163" s="69" t="s">
        <v>1056</v>
      </c>
      <c r="O163" s="70">
        <v>0.14683000189999998</v>
      </c>
      <c r="P163" s="70">
        <v>0</v>
      </c>
      <c r="Q163" s="70">
        <v>0.14683000189999998</v>
      </c>
    </row>
    <row r="164" spans="3:17" ht="313.5">
      <c r="C164" s="321" t="s">
        <v>1087</v>
      </c>
      <c r="D164" s="322"/>
      <c r="E164" s="783"/>
      <c r="F164" s="323" t="s">
        <v>366</v>
      </c>
      <c r="G164" s="319" t="str">
        <f>IFERROR(IF(E164="","",IF(F164="Direct-from-manufacturer",(E164*H164/1000*'Reporting Year &amp; Inflation Adj.'!$F$9),(E164*I164/1000*'Reporting Year &amp; Inflation Adj.'!$F$9))),"")</f>
        <v/>
      </c>
      <c r="H164" s="804">
        <v>0.12963170144000002</v>
      </c>
      <c r="I164" s="805">
        <v>0.12963170144000002</v>
      </c>
      <c r="J164" s="806">
        <v>0</v>
      </c>
      <c r="K164" s="68">
        <v>721000</v>
      </c>
      <c r="L164" s="68" t="s">
        <v>3472</v>
      </c>
      <c r="M164" s="69" t="s">
        <v>1088</v>
      </c>
      <c r="N164" s="69" t="s">
        <v>1089</v>
      </c>
      <c r="O164" s="70">
        <v>0.14744619311999999</v>
      </c>
      <c r="P164" s="70">
        <v>0</v>
      </c>
      <c r="Q164" s="70">
        <v>0.14744619311999999</v>
      </c>
    </row>
    <row r="165" spans="3:17" ht="85.5">
      <c r="C165" s="321" t="s">
        <v>860</v>
      </c>
      <c r="D165" s="322"/>
      <c r="E165" s="783"/>
      <c r="F165" s="323" t="s">
        <v>366</v>
      </c>
      <c r="G165" s="319" t="str">
        <f>IFERROR(IF(E165="","",IF(F165="Direct-from-manufacturer",(E165*H165/1000*'Reporting Year &amp; Inflation Adj.'!$F$9),(E165*I165/1000*'Reporting Year &amp; Inflation Adj.'!$F$9))),"")</f>
        <v/>
      </c>
      <c r="H165" s="804">
        <v>7.2360384939999994E-2</v>
      </c>
      <c r="I165" s="805">
        <v>7.2360384939999994E-2</v>
      </c>
      <c r="J165" s="806">
        <v>0</v>
      </c>
      <c r="K165" s="68">
        <v>423600</v>
      </c>
      <c r="L165" s="68" t="s">
        <v>3473</v>
      </c>
      <c r="M165" s="69" t="s">
        <v>853</v>
      </c>
      <c r="N165" s="69" t="s">
        <v>862</v>
      </c>
      <c r="O165" s="70">
        <v>8.4425189979999996E-2</v>
      </c>
      <c r="P165" s="70">
        <v>0</v>
      </c>
      <c r="Q165" s="70">
        <v>8.4425189979999996E-2</v>
      </c>
    </row>
    <row r="166" spans="3:17" ht="57">
      <c r="C166" s="321" t="s">
        <v>1105</v>
      </c>
      <c r="D166" s="322"/>
      <c r="E166" s="783"/>
      <c r="F166" s="323" t="s">
        <v>366</v>
      </c>
      <c r="G166" s="319" t="str">
        <f>IFERROR(IF(E166="","",IF(F166="Direct-from-manufacturer",(E166*H166/1000*'Reporting Year &amp; Inflation Adj.'!$F$9),(E166*I166/1000*'Reporting Year &amp; Inflation Adj.'!$F$9))),"")</f>
        <v/>
      </c>
      <c r="H166" s="804">
        <v>9.8081947510000017E-2</v>
      </c>
      <c r="I166" s="805">
        <v>9.8081947510000017E-2</v>
      </c>
      <c r="J166" s="806">
        <v>0</v>
      </c>
      <c r="K166" s="68">
        <v>811400</v>
      </c>
      <c r="L166" s="68" t="s">
        <v>3474</v>
      </c>
      <c r="M166" s="69" t="s">
        <v>1098</v>
      </c>
      <c r="N166" s="69" t="s">
        <v>1106</v>
      </c>
      <c r="O166" s="70">
        <v>0.11443612278</v>
      </c>
      <c r="P166" s="70">
        <v>0</v>
      </c>
      <c r="Q166" s="70">
        <v>0.11443612278</v>
      </c>
    </row>
    <row r="167" spans="3:17" ht="42.75">
      <c r="C167" s="321" t="s">
        <v>722</v>
      </c>
      <c r="D167" s="322"/>
      <c r="E167" s="783"/>
      <c r="F167" s="325"/>
      <c r="G167" s="319" t="str">
        <f>IFERROR(IF(E167="","",IF(F167="Direct-from-manufacturer",(E167*H167/1000*'Reporting Year &amp; Inflation Adj.'!$F$9),(E167*I167/1000*'Reporting Year &amp; Inflation Adj.'!$F$9))),"")</f>
        <v/>
      </c>
      <c r="H167" s="804">
        <v>0.154064528895</v>
      </c>
      <c r="I167" s="805">
        <v>0.17290582262999998</v>
      </c>
      <c r="J167" s="806">
        <v>0.10673589260491403</v>
      </c>
      <c r="K167" s="68" t="s">
        <v>723</v>
      </c>
      <c r="L167" s="68" t="s">
        <v>3475</v>
      </c>
      <c r="M167" s="69" t="s">
        <v>440</v>
      </c>
      <c r="N167" s="69" t="s">
        <v>715</v>
      </c>
      <c r="O167" s="70">
        <v>0.18221222057000003</v>
      </c>
      <c r="P167" s="70">
        <v>2.0898423909999998E-2</v>
      </c>
      <c r="Q167" s="70">
        <v>0.20372519545000001</v>
      </c>
    </row>
    <row r="168" spans="3:17" ht="28.5">
      <c r="C168" s="321" t="s">
        <v>463</v>
      </c>
      <c r="D168" s="322"/>
      <c r="E168" s="783"/>
      <c r="F168" s="325"/>
      <c r="G168" s="319" t="str">
        <f>IFERROR(IF(E168="","",IF(F168="Direct-from-manufacturer",(E168*H168/1000*'Reporting Year &amp; Inflation Adj.'!$F$9),(E168*I168/1000*'Reporting Year &amp; Inflation Adj.'!$F$9))),"")</f>
        <v/>
      </c>
      <c r="H168" s="804">
        <v>0.4993601473</v>
      </c>
      <c r="I168" s="805">
        <v>0.52640631485</v>
      </c>
      <c r="J168" s="806">
        <v>5.1997582500125664E-2</v>
      </c>
      <c r="K168" s="68">
        <v>311520</v>
      </c>
      <c r="L168" s="68" t="s">
        <v>3476</v>
      </c>
      <c r="M168" s="69" t="s">
        <v>440</v>
      </c>
      <c r="N168" s="69" t="s">
        <v>459</v>
      </c>
      <c r="O168" s="70">
        <v>0.5673655220399999</v>
      </c>
      <c r="P168" s="70">
        <v>3.0172089099999997E-2</v>
      </c>
      <c r="Q168" s="70">
        <v>0.59700082928000009</v>
      </c>
    </row>
    <row r="169" spans="3:17" ht="71.25">
      <c r="C169" s="321" t="s">
        <v>1077</v>
      </c>
      <c r="D169" s="322"/>
      <c r="E169" s="783"/>
      <c r="F169" s="323" t="s">
        <v>366</v>
      </c>
      <c r="G169" s="319" t="str">
        <f>IFERROR(IF(E169="","",IF(F169="Direct-from-manufacturer",(E169*H169/1000*'Reporting Year &amp; Inflation Adj.'!$F$9),(E169*I169/1000*'Reporting Year &amp; Inflation Adj.'!$F$9))),"")</f>
        <v/>
      </c>
      <c r="H169" s="804">
        <v>2.8694495949999999E-2</v>
      </c>
      <c r="I169" s="805">
        <v>2.8694495949999999E-2</v>
      </c>
      <c r="J169" s="806">
        <v>0</v>
      </c>
      <c r="K169" s="68">
        <v>711500</v>
      </c>
      <c r="L169" s="68" t="s">
        <v>3477</v>
      </c>
      <c r="M169" s="69" t="s">
        <v>1071</v>
      </c>
      <c r="N169" s="69" t="s">
        <v>1078</v>
      </c>
      <c r="O169" s="70">
        <v>3.3242567059999992E-2</v>
      </c>
      <c r="P169" s="70">
        <v>0</v>
      </c>
      <c r="Q169" s="70">
        <v>3.3242567059999992E-2</v>
      </c>
    </row>
    <row r="170" spans="3:17" ht="28.5">
      <c r="C170" s="321" t="s">
        <v>1063</v>
      </c>
      <c r="D170" s="322"/>
      <c r="E170" s="783"/>
      <c r="F170" s="323" t="s">
        <v>366</v>
      </c>
      <c r="G170" s="319" t="str">
        <f>IFERROR(IF(E170="","",IF(F170="Direct-from-manufacturer",(E170*H170/1000*'Reporting Year &amp; Inflation Adj.'!$F$9),(E170*I170/1000*'Reporting Year &amp; Inflation Adj.'!$F$9))),"")</f>
        <v/>
      </c>
      <c r="H170" s="804">
        <v>0.10502014695999999</v>
      </c>
      <c r="I170" s="805">
        <v>0.10502014695999999</v>
      </c>
      <c r="J170" s="806">
        <v>0</v>
      </c>
      <c r="K170" s="68">
        <v>624100</v>
      </c>
      <c r="L170" s="68" t="s">
        <v>3478</v>
      </c>
      <c r="M170" s="69" t="s">
        <v>1038</v>
      </c>
      <c r="N170" s="69" t="s">
        <v>1064</v>
      </c>
      <c r="O170" s="70">
        <v>0.12072739766000003</v>
      </c>
      <c r="P170" s="70">
        <v>0</v>
      </c>
      <c r="Q170" s="70">
        <v>0.12072739766000003</v>
      </c>
    </row>
    <row r="171" spans="3:17" ht="356.25">
      <c r="C171" s="321" t="s">
        <v>3313</v>
      </c>
      <c r="D171" s="322"/>
      <c r="E171" s="783"/>
      <c r="F171" s="323" t="s">
        <v>366</v>
      </c>
      <c r="G171" s="319" t="str">
        <f>IFERROR(IF(E171="","",IF(F171="Direct-from-manufacturer",(E171*H171/1000*'Reporting Year &amp; Inflation Adj.'!$F$9),(E171*I171/1000*'Reporting Year &amp; Inflation Adj.'!$F$9))),"")</f>
        <v/>
      </c>
      <c r="H171" s="804">
        <v>0.20833853749999995</v>
      </c>
      <c r="I171" s="805">
        <v>0.20833853749999995</v>
      </c>
      <c r="J171" s="806">
        <v>0</v>
      </c>
      <c r="K171" s="68" t="s">
        <v>402</v>
      </c>
      <c r="L171" s="68" t="s">
        <v>3479</v>
      </c>
      <c r="M171" s="69" t="s">
        <v>397</v>
      </c>
      <c r="N171" s="69" t="s">
        <v>403</v>
      </c>
      <c r="O171" s="70">
        <v>0.24098733684999998</v>
      </c>
      <c r="P171" s="70">
        <v>0</v>
      </c>
      <c r="Q171" s="70">
        <v>0.24098733684999998</v>
      </c>
    </row>
    <row r="172" spans="3:17" ht="42.75">
      <c r="C172" s="321" t="s">
        <v>700</v>
      </c>
      <c r="D172" s="322"/>
      <c r="E172" s="783"/>
      <c r="F172" s="325"/>
      <c r="G172" s="319" t="str">
        <f>IFERROR(IF(E172="","",IF(F172="Direct-from-manufacturer",(E172*H172/1000*'Reporting Year &amp; Inflation Adj.'!$F$9),(E172*I172/1000*'Reporting Year &amp; Inflation Adj.'!$F$9))),"")</f>
        <v/>
      </c>
      <c r="H172" s="804">
        <v>0.20466669016</v>
      </c>
      <c r="I172" s="805">
        <v>0.22714308710499995</v>
      </c>
      <c r="J172" s="806">
        <v>9.896673287093477E-2</v>
      </c>
      <c r="K172" s="68">
        <v>333511</v>
      </c>
      <c r="L172" s="68" t="s">
        <v>3480</v>
      </c>
      <c r="M172" s="69" t="s">
        <v>440</v>
      </c>
      <c r="N172" s="69" t="s">
        <v>702</v>
      </c>
      <c r="O172" s="70">
        <v>0.23756957009000002</v>
      </c>
      <c r="P172" s="70">
        <v>2.5363460099999999E-2</v>
      </c>
      <c r="Q172" s="70">
        <v>0.26280958612999999</v>
      </c>
    </row>
    <row r="173" spans="3:17" ht="42.75">
      <c r="C173" s="321" t="s">
        <v>721</v>
      </c>
      <c r="D173" s="322"/>
      <c r="E173" s="783"/>
      <c r="F173" s="325"/>
      <c r="G173" s="319" t="str">
        <f>IFERROR(IF(E173="","",IF(F173="Direct-from-manufacturer",(E173*H173/1000*'Reporting Year &amp; Inflation Adj.'!$F$9),(E173*I173/1000*'Reporting Year &amp; Inflation Adj.'!$F$9))),"")</f>
        <v/>
      </c>
      <c r="H173" s="804">
        <v>0.14220244531000001</v>
      </c>
      <c r="I173" s="805">
        <v>0.16125565123500005</v>
      </c>
      <c r="J173" s="806">
        <v>0.12110810988905801</v>
      </c>
      <c r="K173" s="68">
        <v>333994</v>
      </c>
      <c r="L173" s="68" t="s">
        <v>3481</v>
      </c>
      <c r="M173" s="69" t="s">
        <v>440</v>
      </c>
      <c r="N173" s="69" t="s">
        <v>715</v>
      </c>
      <c r="O173" s="70">
        <v>0.16882741662999998</v>
      </c>
      <c r="P173" s="70">
        <v>2.2228534009999995E-2</v>
      </c>
      <c r="Q173" s="70">
        <v>0.19057880963999999</v>
      </c>
    </row>
    <row r="174" spans="3:17" ht="71.25">
      <c r="C174" s="321" t="s">
        <v>748</v>
      </c>
      <c r="D174" s="322"/>
      <c r="E174" s="783"/>
      <c r="F174" s="325"/>
      <c r="G174" s="319" t="str">
        <f>IFERROR(IF(E174="","",IF(F174="Direct-from-manufacturer",(E174*H174/1000*'Reporting Year &amp; Inflation Adj.'!$F$9),(E174*I174/1000*'Reporting Year &amp; Inflation Adj.'!$F$9))),"")</f>
        <v/>
      </c>
      <c r="H174" s="804">
        <v>4.0007717714999995E-2</v>
      </c>
      <c r="I174" s="805">
        <v>5.2965787740000006E-2</v>
      </c>
      <c r="J174" s="806">
        <v>0.24489759811887202</v>
      </c>
      <c r="K174" s="68">
        <v>334513</v>
      </c>
      <c r="L174" s="68" t="s">
        <v>3482</v>
      </c>
      <c r="M174" s="69" t="s">
        <v>440</v>
      </c>
      <c r="N174" s="69" t="s">
        <v>745</v>
      </c>
      <c r="O174" s="70">
        <v>4.7831406266999985E-2</v>
      </c>
      <c r="P174" s="70">
        <v>1.5423169514999998E-2</v>
      </c>
      <c r="Q174" s="70">
        <v>6.3152321520000013E-2</v>
      </c>
    </row>
    <row r="175" spans="3:17" ht="57">
      <c r="C175" s="321" t="s">
        <v>577</v>
      </c>
      <c r="D175" s="322"/>
      <c r="E175" s="783"/>
      <c r="F175" s="325"/>
      <c r="G175" s="319" t="str">
        <f>IFERROR(IF(E175="","",IF(F175="Direct-from-manufacturer",(E175*H175/1000*'Reporting Year &amp; Inflation Adj.'!$F$9),(E175*I175/1000*'Reporting Year &amp; Inflation Adj.'!$F$9))),"")</f>
        <v/>
      </c>
      <c r="H175" s="804">
        <v>0.31103360727000012</v>
      </c>
      <c r="I175" s="805">
        <v>0.33975540949000005</v>
      </c>
      <c r="J175" s="806">
        <v>8.5393282710496288E-2</v>
      </c>
      <c r="K175" s="68">
        <v>325910</v>
      </c>
      <c r="L175" s="68" t="s">
        <v>3483</v>
      </c>
      <c r="M175" s="69" t="s">
        <v>440</v>
      </c>
      <c r="N175" s="69" t="s">
        <v>579</v>
      </c>
      <c r="O175" s="70">
        <v>0.35734212793000003</v>
      </c>
      <c r="P175" s="70">
        <v>3.1348237670000001E-2</v>
      </c>
      <c r="Q175" s="70">
        <v>0.38879140952999991</v>
      </c>
    </row>
    <row r="176" spans="3:17" ht="71.25">
      <c r="C176" s="321" t="s">
        <v>827</v>
      </c>
      <c r="D176" s="322"/>
      <c r="E176" s="783"/>
      <c r="F176" s="325"/>
      <c r="G176" s="319" t="str">
        <f>IFERROR(IF(E176="","",IF(F176="Direct-from-manufacturer",(E176*H176/1000*'Reporting Year &amp; Inflation Adj.'!$F$9),(E176*I176/1000*'Reporting Year &amp; Inflation Adj.'!$F$9))),"")</f>
        <v/>
      </c>
      <c r="H176" s="804">
        <v>0.17743114093500001</v>
      </c>
      <c r="I176" s="805">
        <v>0.212917359035</v>
      </c>
      <c r="J176" s="806">
        <v>0.16300760444006229</v>
      </c>
      <c r="K176" s="68">
        <v>337127</v>
      </c>
      <c r="L176" s="68" t="s">
        <v>3484</v>
      </c>
      <c r="M176" s="69" t="s">
        <v>440</v>
      </c>
      <c r="N176" s="69" t="s">
        <v>822</v>
      </c>
      <c r="O176" s="70">
        <v>0.20948031017999999</v>
      </c>
      <c r="P176" s="70">
        <v>3.8077582010000006E-2</v>
      </c>
      <c r="Q176" s="70">
        <v>0.24807488677999998</v>
      </c>
    </row>
    <row r="177" spans="3:17" ht="57">
      <c r="C177" s="321" t="s">
        <v>958</v>
      </c>
      <c r="D177" s="322"/>
      <c r="E177" s="783"/>
      <c r="F177" s="323" t="s">
        <v>366</v>
      </c>
      <c r="G177" s="319" t="str">
        <f>IFERROR(IF(E177="","",IF(F177="Direct-from-manufacturer",(E177*H177/1000*'Reporting Year &amp; Inflation Adj.'!$F$9),(E177*I177/1000*'Reporting Year &amp; Inflation Adj.'!$F$9))),"")</f>
        <v/>
      </c>
      <c r="H177" s="804">
        <v>2.5618655005000001E-2</v>
      </c>
      <c r="I177" s="805">
        <v>2.5618655005000001E-2</v>
      </c>
      <c r="J177" s="806">
        <v>0</v>
      </c>
      <c r="K177" s="68">
        <v>524200</v>
      </c>
      <c r="L177" s="68" t="s">
        <v>3485</v>
      </c>
      <c r="M177" s="69" t="s">
        <v>943</v>
      </c>
      <c r="N177" s="69" t="s">
        <v>960</v>
      </c>
      <c r="O177" s="70">
        <v>2.9061155313999998E-2</v>
      </c>
      <c r="P177" s="70">
        <v>0</v>
      </c>
      <c r="Q177" s="70">
        <v>2.9061155313999998E-2</v>
      </c>
    </row>
    <row r="178" spans="3:17" ht="156.75">
      <c r="C178" s="321" t="s">
        <v>955</v>
      </c>
      <c r="D178" s="322"/>
      <c r="E178" s="783"/>
      <c r="F178" s="323" t="s">
        <v>366</v>
      </c>
      <c r="G178" s="319" t="str">
        <f>IFERROR(IF(E178="","",IF(F178="Direct-from-manufacturer",(E178*H178/1000*'Reporting Year &amp; Inflation Adj.'!$F$9),(E178*I178/1000*'Reporting Year &amp; Inflation Adj.'!$F$9))),"")</f>
        <v/>
      </c>
      <c r="H178" s="804">
        <v>2.8082319799999998E-2</v>
      </c>
      <c r="I178" s="805">
        <v>2.8082319799999998E-2</v>
      </c>
      <c r="J178" s="806">
        <v>0</v>
      </c>
      <c r="K178" s="68" t="s">
        <v>956</v>
      </c>
      <c r="L178" s="68" t="s">
        <v>3486</v>
      </c>
      <c r="M178" s="69" t="s">
        <v>943</v>
      </c>
      <c r="N178" s="69" t="s">
        <v>957</v>
      </c>
      <c r="O178" s="70">
        <v>3.3038491730000001E-2</v>
      </c>
      <c r="P178" s="70">
        <v>0</v>
      </c>
      <c r="Q178" s="70">
        <v>3.3038491730000001E-2</v>
      </c>
    </row>
    <row r="179" spans="3:17" ht="142.5">
      <c r="C179" s="321" t="s">
        <v>939</v>
      </c>
      <c r="D179" s="322"/>
      <c r="E179" s="783"/>
      <c r="F179" s="323" t="s">
        <v>366</v>
      </c>
      <c r="G179" s="319" t="str">
        <f>IFERROR(IF(E179="","",IF(F179="Direct-from-manufacturer",(E179*H179/1000*'Reporting Year &amp; Inflation Adj.'!$F$9),(E179*I179/1000*'Reporting Year &amp; Inflation Adj.'!$F$9))),"")</f>
        <v/>
      </c>
      <c r="H179" s="804">
        <v>6.8068958225000017E-2</v>
      </c>
      <c r="I179" s="805">
        <v>6.8068958225000017E-2</v>
      </c>
      <c r="J179" s="806">
        <v>0</v>
      </c>
      <c r="K179" s="68">
        <v>519130</v>
      </c>
      <c r="L179" s="68" t="s">
        <v>3487</v>
      </c>
      <c r="M179" s="69" t="s">
        <v>904</v>
      </c>
      <c r="N179" s="69" t="s">
        <v>938</v>
      </c>
      <c r="O179" s="70">
        <v>6.712332591999999E-2</v>
      </c>
      <c r="P179" s="70">
        <v>0</v>
      </c>
      <c r="Q179" s="70">
        <v>6.712332591999999E-2</v>
      </c>
    </row>
    <row r="180" spans="3:17" ht="28.5">
      <c r="C180" s="321" t="s">
        <v>1019</v>
      </c>
      <c r="D180" s="322"/>
      <c r="E180" s="783"/>
      <c r="F180" s="323" t="s">
        <v>366</v>
      </c>
      <c r="G180" s="319" t="str">
        <f>IFERROR(IF(E180="","",IF(F180="Direct-from-manufacturer",(E180*H180/1000*'Reporting Year &amp; Inflation Adj.'!$F$9),(E180*I180/1000*'Reporting Year &amp; Inflation Adj.'!$F$9))),"")</f>
        <v/>
      </c>
      <c r="H180" s="804">
        <v>6.092800521499999E-2</v>
      </c>
      <c r="I180" s="805">
        <v>6.092800521499999E-2</v>
      </c>
      <c r="J180" s="806">
        <v>0</v>
      </c>
      <c r="K180" s="68">
        <v>561600</v>
      </c>
      <c r="L180" s="68" t="s">
        <v>3488</v>
      </c>
      <c r="M180" s="69" t="s">
        <v>1006</v>
      </c>
      <c r="N180" s="69" t="s">
        <v>1021</v>
      </c>
      <c r="O180" s="70">
        <v>7.4710684899999991E-2</v>
      </c>
      <c r="P180" s="70">
        <v>0</v>
      </c>
      <c r="Q180" s="70">
        <v>7.4710684899999991E-2</v>
      </c>
    </row>
    <row r="181" spans="3:17" ht="99.75">
      <c r="C181" s="321" t="s">
        <v>951</v>
      </c>
      <c r="D181" s="322"/>
      <c r="E181" s="783"/>
      <c r="F181" s="323" t="s">
        <v>366</v>
      </c>
      <c r="G181" s="319" t="str">
        <f>IFERROR(IF(E181="","",IF(F181="Direct-from-manufacturer",(E181*H181/1000*'Reporting Year &amp; Inflation Adj.'!$F$9),(E181*I181/1000*'Reporting Year &amp; Inflation Adj.'!$F$9))),"")</f>
        <v/>
      </c>
      <c r="H181" s="804">
        <v>5.9528533345000002E-2</v>
      </c>
      <c r="I181" s="805">
        <v>5.9528533345000002E-2</v>
      </c>
      <c r="J181" s="806">
        <v>0</v>
      </c>
      <c r="K181" s="68">
        <v>523900</v>
      </c>
      <c r="L181" s="68" t="s">
        <v>3489</v>
      </c>
      <c r="M181" s="69" t="s">
        <v>943</v>
      </c>
      <c r="N181" s="69" t="s">
        <v>953</v>
      </c>
      <c r="O181" s="70">
        <v>6.6529931114000004E-2</v>
      </c>
      <c r="P181" s="70">
        <v>0</v>
      </c>
      <c r="Q181" s="70">
        <v>6.6529931114000004E-2</v>
      </c>
    </row>
    <row r="182" spans="3:17" ht="71.25">
      <c r="C182" s="321" t="s">
        <v>375</v>
      </c>
      <c r="D182" s="322"/>
      <c r="E182" s="783"/>
      <c r="F182" s="325"/>
      <c r="G182" s="319" t="str">
        <f>IFERROR(IF(E182="","",IF(F182="Direct-from-manufacturer",(E182*H182/1000*'Reporting Year &amp; Inflation Adj.'!$F$9),(E182*I182/1000*'Reporting Year &amp; Inflation Adj.'!$F$9))),"")</f>
        <v/>
      </c>
      <c r="H182" s="804">
        <v>0.48623241506000003</v>
      </c>
      <c r="I182" s="805">
        <v>0.53463620537500001</v>
      </c>
      <c r="J182" s="806">
        <v>8.9394093972699082E-2</v>
      </c>
      <c r="K182" s="68" t="s">
        <v>376</v>
      </c>
      <c r="L182" s="68" t="s">
        <v>3490</v>
      </c>
      <c r="M182" s="69" t="s">
        <v>371</v>
      </c>
      <c r="N182" s="69" t="s">
        <v>377</v>
      </c>
      <c r="O182" s="70">
        <v>0.54143848910000014</v>
      </c>
      <c r="P182" s="70">
        <v>5.4069816643999999E-2</v>
      </c>
      <c r="Q182" s="70">
        <v>0.59556360873000003</v>
      </c>
    </row>
    <row r="183" spans="3:17" ht="71.25">
      <c r="C183" s="321" t="s">
        <v>752</v>
      </c>
      <c r="D183" s="322"/>
      <c r="E183" s="783"/>
      <c r="F183" s="325"/>
      <c r="G183" s="319" t="str">
        <f>IFERROR(IF(E183="","",IF(F183="Direct-from-manufacturer",(E183*H183/1000*'Reporting Year &amp; Inflation Adj.'!$F$9),(E183*I183/1000*'Reporting Year &amp; Inflation Adj.'!$F$9))),"")</f>
        <v/>
      </c>
      <c r="H183" s="804">
        <v>8.797950136499999E-2</v>
      </c>
      <c r="I183" s="805">
        <v>0.12247572413500002</v>
      </c>
      <c r="J183" s="806">
        <v>0.28492633782295451</v>
      </c>
      <c r="K183" s="68">
        <v>334517</v>
      </c>
      <c r="L183" s="68" t="s">
        <v>3491</v>
      </c>
      <c r="M183" s="69" t="s">
        <v>440</v>
      </c>
      <c r="N183" s="69" t="s">
        <v>745</v>
      </c>
      <c r="O183" s="70">
        <v>9.7063799700000009E-2</v>
      </c>
      <c r="P183" s="70">
        <v>3.8608581980000001E-2</v>
      </c>
      <c r="Q183" s="70">
        <v>0.13599313787</v>
      </c>
    </row>
    <row r="184" spans="3:17" ht="156.75">
      <c r="C184" s="321" t="s">
        <v>843</v>
      </c>
      <c r="D184" s="322"/>
      <c r="E184" s="783"/>
      <c r="F184" s="325"/>
      <c r="G184" s="319" t="str">
        <f>IFERROR(IF(E184="","",IF(F184="Direct-from-manufacturer",(E184*H184/1000*'Reporting Year &amp; Inflation Adj.'!$F$9),(E184*I184/1000*'Reporting Year &amp; Inflation Adj.'!$F$9))),"")</f>
        <v/>
      </c>
      <c r="H184" s="804">
        <v>4.8645968315000003E-2</v>
      </c>
      <c r="I184" s="805">
        <v>9.3569343035000002E-2</v>
      </c>
      <c r="J184" s="806">
        <v>0.4800855605366065</v>
      </c>
      <c r="K184" s="68">
        <v>339910</v>
      </c>
      <c r="L184" s="68" t="s">
        <v>3492</v>
      </c>
      <c r="M184" s="69" t="s">
        <v>440</v>
      </c>
      <c r="N184" s="69" t="s">
        <v>845</v>
      </c>
      <c r="O184" s="70">
        <v>5.4989989879999999E-2</v>
      </c>
      <c r="P184" s="70">
        <v>5.3982164269999987E-2</v>
      </c>
      <c r="Q184" s="70">
        <v>0.10896814185999998</v>
      </c>
    </row>
    <row r="185" spans="3:17" ht="42.75">
      <c r="C185" s="321" t="s">
        <v>586</v>
      </c>
      <c r="D185" s="322"/>
      <c r="E185" s="783"/>
      <c r="F185" s="325"/>
      <c r="G185" s="319" t="str">
        <f>IFERROR(IF(E185="","",IF(F185="Direct-from-manufacturer",(E185*H185/1000*'Reporting Year &amp; Inflation Adj.'!$F$9),(E185*I185/1000*'Reporting Year &amp; Inflation Adj.'!$F$9))),"")</f>
        <v/>
      </c>
      <c r="H185" s="804">
        <v>0.37356001502000008</v>
      </c>
      <c r="I185" s="805">
        <v>0.39028817868999999</v>
      </c>
      <c r="J185" s="806">
        <v>4.4667516778280215E-2</v>
      </c>
      <c r="K185" s="68">
        <v>326130</v>
      </c>
      <c r="L185" s="68" t="s">
        <v>3493</v>
      </c>
      <c r="M185" s="69" t="s">
        <v>440</v>
      </c>
      <c r="N185" s="69" t="s">
        <v>584</v>
      </c>
      <c r="O185" s="70">
        <v>0.44277992917000009</v>
      </c>
      <c r="P185" s="70">
        <v>1.9023083191999999E-2</v>
      </c>
      <c r="Q185" s="70">
        <v>0.46204104807000002</v>
      </c>
    </row>
    <row r="186" spans="3:17" ht="128.25">
      <c r="C186" s="321" t="s">
        <v>3314</v>
      </c>
      <c r="D186" s="322"/>
      <c r="E186" s="783"/>
      <c r="F186" s="323" t="s">
        <v>366</v>
      </c>
      <c r="G186" s="319" t="str">
        <f>IFERROR(IF(E186="","",IF(F186="Direct-from-manufacturer",(E186*H186/1000*'Reporting Year &amp; Inflation Adj.'!$F$9),(E186*I186/1000*'Reporting Year &amp; Inflation Adj.'!$F$9))),"")</f>
        <v/>
      </c>
      <c r="H186" s="804">
        <v>0.19878282184500001</v>
      </c>
      <c r="I186" s="805">
        <v>0.19878282184500001</v>
      </c>
      <c r="J186" s="806">
        <v>0</v>
      </c>
      <c r="K186" s="68" t="s">
        <v>3717</v>
      </c>
      <c r="L186" s="68" t="s">
        <v>3494</v>
      </c>
      <c r="M186" s="69" t="s">
        <v>397</v>
      </c>
      <c r="N186" s="69" t="s">
        <v>3722</v>
      </c>
      <c r="O186" s="70">
        <v>0.22261555573000005</v>
      </c>
      <c r="P186" s="70">
        <v>0</v>
      </c>
      <c r="Q186" s="70">
        <v>0.22261555573000005</v>
      </c>
    </row>
    <row r="187" spans="3:17" ht="57">
      <c r="C187" s="321" t="s">
        <v>682</v>
      </c>
      <c r="D187" s="322"/>
      <c r="E187" s="783"/>
      <c r="F187" s="325"/>
      <c r="G187" s="319" t="str">
        <f>IFERROR(IF(E187="","",IF(F187="Direct-from-manufacturer",(E187*H187/1000*'Reporting Year &amp; Inflation Adj.'!$F$9),(E187*I187/1000*'Reporting Year &amp; Inflation Adj.'!$F$9))),"")</f>
        <v/>
      </c>
      <c r="H187" s="804">
        <v>4.5442194774999993E-2</v>
      </c>
      <c r="I187" s="805">
        <v>0.10575653463</v>
      </c>
      <c r="J187" s="806">
        <v>0.57016831140470214</v>
      </c>
      <c r="K187" s="68">
        <v>333112</v>
      </c>
      <c r="L187" s="68" t="s">
        <v>3495</v>
      </c>
      <c r="M187" s="69" t="s">
        <v>440</v>
      </c>
      <c r="N187" s="69" t="s">
        <v>681</v>
      </c>
      <c r="O187" s="70">
        <v>5.1969694279000007E-2</v>
      </c>
      <c r="P187" s="70">
        <v>6.9030405209999993E-2</v>
      </c>
      <c r="Q187" s="70">
        <v>0.12122637351999997</v>
      </c>
    </row>
    <row r="188" spans="3:17" ht="171">
      <c r="C188" s="321" t="s">
        <v>512</v>
      </c>
      <c r="D188" s="322"/>
      <c r="E188" s="783"/>
      <c r="F188" s="325"/>
      <c r="G188" s="319" t="str">
        <f>IFERROR(IF(E188="","",IF(F188="Direct-from-manufacturer",(E188*H188/1000*'Reporting Year &amp; Inflation Adj.'!$F$9),(E188*I188/1000*'Reporting Year &amp; Inflation Adj.'!$F$9))),"")</f>
        <v/>
      </c>
      <c r="H188" s="804">
        <v>0.19587081180000007</v>
      </c>
      <c r="I188" s="805">
        <v>0.24956612236000003</v>
      </c>
      <c r="J188" s="806">
        <v>0.21520679254103867</v>
      </c>
      <c r="K188" s="68">
        <v>316000</v>
      </c>
      <c r="L188" s="68" t="s">
        <v>3496</v>
      </c>
      <c r="M188" s="69" t="s">
        <v>440</v>
      </c>
      <c r="N188" s="69" t="s">
        <v>514</v>
      </c>
      <c r="O188" s="70">
        <v>0.22960933227999991</v>
      </c>
      <c r="P188" s="70">
        <v>6.0481978990000004E-2</v>
      </c>
      <c r="Q188" s="70">
        <v>0.28988555207</v>
      </c>
    </row>
    <row r="189" spans="3:17" ht="42.75">
      <c r="C189" s="321" t="s">
        <v>979</v>
      </c>
      <c r="D189" s="322"/>
      <c r="E189" s="783"/>
      <c r="F189" s="323" t="s">
        <v>366</v>
      </c>
      <c r="G189" s="319" t="str">
        <f>IFERROR(IF(E189="","",IF(F189="Direct-from-manufacturer",(E189*H189/1000*'Reporting Year &amp; Inflation Adj.'!$F$9),(E189*I189/1000*'Reporting Year &amp; Inflation Adj.'!$F$9))),"")</f>
        <v/>
      </c>
      <c r="H189" s="804">
        <v>3.5933747270000004E-2</v>
      </c>
      <c r="I189" s="805">
        <v>3.5933747270000004E-2</v>
      </c>
      <c r="J189" s="806">
        <v>0</v>
      </c>
      <c r="K189" s="68">
        <v>541100</v>
      </c>
      <c r="L189" s="68" t="s">
        <v>3497</v>
      </c>
      <c r="M189" s="69" t="s">
        <v>981</v>
      </c>
      <c r="N189" s="69" t="s">
        <v>982</v>
      </c>
      <c r="O189" s="70">
        <v>4.1889323610000001E-2</v>
      </c>
      <c r="P189" s="70">
        <v>0</v>
      </c>
      <c r="Q189" s="70">
        <v>4.1889323610000001E-2</v>
      </c>
    </row>
    <row r="190" spans="3:17" ht="171">
      <c r="C190" s="321" t="s">
        <v>976</v>
      </c>
      <c r="D190" s="322"/>
      <c r="E190" s="783"/>
      <c r="F190" s="323" t="s">
        <v>366</v>
      </c>
      <c r="G190" s="319" t="str">
        <f>IFERROR(IF(E190="","",IF(F190="Direct-from-manufacturer",(E190*H190/1000*'Reporting Year &amp; Inflation Adj.'!$F$9),(E190*I190/1000*'Reporting Year &amp; Inflation Adj.'!$F$9))),"")</f>
        <v/>
      </c>
      <c r="H190" s="804">
        <v>4.8316169425000006E-2</v>
      </c>
      <c r="I190" s="805">
        <v>4.8316169425000006E-2</v>
      </c>
      <c r="J190" s="806">
        <v>0</v>
      </c>
      <c r="K190" s="68">
        <v>533000</v>
      </c>
      <c r="L190" s="68" t="s">
        <v>3498</v>
      </c>
      <c r="M190" s="69" t="s">
        <v>965</v>
      </c>
      <c r="N190" s="69" t="s">
        <v>978</v>
      </c>
      <c r="O190" s="70">
        <v>5.2892365546000006E-2</v>
      </c>
      <c r="P190" s="70">
        <v>0</v>
      </c>
      <c r="Q190" s="70">
        <v>5.2892365546000006E-2</v>
      </c>
    </row>
    <row r="191" spans="3:17" ht="99.75">
      <c r="C191" s="321" t="s">
        <v>3315</v>
      </c>
      <c r="D191" s="322"/>
      <c r="E191" s="783"/>
      <c r="F191" s="323" t="s">
        <v>366</v>
      </c>
      <c r="G191" s="319" t="str">
        <f>IFERROR(IF(E191="","",IF(F191="Direct-from-manufacturer",(E191*H191/1000*'Reporting Year &amp; Inflation Adj.'!$F$9),(E191*I191/1000*'Reporting Year &amp; Inflation Adj.'!$F$9))),"")</f>
        <v/>
      </c>
      <c r="H191" s="804">
        <v>2.6784849434500001E-2</v>
      </c>
      <c r="I191" s="805">
        <v>2.6784849434500001E-2</v>
      </c>
      <c r="J191" s="806">
        <v>0</v>
      </c>
      <c r="K191" s="68" t="s">
        <v>964</v>
      </c>
      <c r="L191" s="68" t="s">
        <v>3499</v>
      </c>
      <c r="M191" s="69" t="s">
        <v>965</v>
      </c>
      <c r="N191" s="69" t="s">
        <v>3723</v>
      </c>
      <c r="O191" s="70">
        <v>3.3525773584999995E-2</v>
      </c>
      <c r="P191" s="70">
        <v>0</v>
      </c>
      <c r="Q191" s="70">
        <v>3.3525773584999995E-2</v>
      </c>
    </row>
    <row r="192" spans="3:17" ht="114">
      <c r="C192" s="321" t="s">
        <v>643</v>
      </c>
      <c r="D192" s="322"/>
      <c r="E192" s="783"/>
      <c r="F192" s="325"/>
      <c r="G192" s="319" t="str">
        <f>IFERROR(IF(E192="","",IF(F192="Direct-from-manufacturer",(E192*H192/1000*'Reporting Year &amp; Inflation Adj.'!$F$9),(E192*I192/1000*'Reporting Year &amp; Inflation Adj.'!$F$9))),"")</f>
        <v/>
      </c>
      <c r="H192" s="804">
        <v>0.26717776914000002</v>
      </c>
      <c r="I192" s="805">
        <v>0.29221426625499997</v>
      </c>
      <c r="J192" s="806">
        <v>8.5729940622196965E-2</v>
      </c>
      <c r="K192" s="68">
        <v>332119</v>
      </c>
      <c r="L192" s="68" t="s">
        <v>3500</v>
      </c>
      <c r="M192" s="69" t="s">
        <v>440</v>
      </c>
      <c r="N192" s="69" t="s">
        <v>640</v>
      </c>
      <c r="O192" s="70">
        <v>0.29404339915000005</v>
      </c>
      <c r="P192" s="70">
        <v>2.6377178970000005E-2</v>
      </c>
      <c r="Q192" s="70">
        <v>0.32064563653</v>
      </c>
    </row>
    <row r="193" spans="3:17" ht="42.75">
      <c r="C193" s="321" t="s">
        <v>758</v>
      </c>
      <c r="D193" s="322"/>
      <c r="E193" s="783"/>
      <c r="F193" s="325"/>
      <c r="G193" s="319" t="str">
        <f>IFERROR(IF(E193="","",IF(F193="Direct-from-manufacturer",(E193*H193/1000*'Reporting Year &amp; Inflation Adj.'!$F$9),(E193*I193/1000*'Reporting Year &amp; Inflation Adj.'!$F$9))),"")</f>
        <v/>
      </c>
      <c r="H193" s="804">
        <v>8.3538911415000014E-2</v>
      </c>
      <c r="I193" s="805">
        <v>0.14570747029499997</v>
      </c>
      <c r="J193" s="806">
        <v>0.42812371193943266</v>
      </c>
      <c r="K193" s="68">
        <v>335110</v>
      </c>
      <c r="L193" s="68" t="s">
        <v>3501</v>
      </c>
      <c r="M193" s="69" t="s">
        <v>440</v>
      </c>
      <c r="N193" s="69" t="s">
        <v>760</v>
      </c>
      <c r="O193" s="70">
        <v>9.9619945400000021E-2</v>
      </c>
      <c r="P193" s="70">
        <v>7.4918326369999996E-2</v>
      </c>
      <c r="Q193" s="70">
        <v>0.17483735181999999</v>
      </c>
    </row>
    <row r="194" spans="3:17" ht="42.75">
      <c r="C194" s="321" t="s">
        <v>761</v>
      </c>
      <c r="D194" s="322"/>
      <c r="E194" s="783"/>
      <c r="F194" s="325"/>
      <c r="G194" s="319" t="str">
        <f>IFERROR(IF(E194="","",IF(F194="Direct-from-manufacturer",(E194*H194/1000*'Reporting Year &amp; Inflation Adj.'!$F$9),(E194*I194/1000*'Reporting Year &amp; Inflation Adj.'!$F$9))),"")</f>
        <v/>
      </c>
      <c r="H194" s="804">
        <v>0.12144595032499998</v>
      </c>
      <c r="I194" s="805">
        <v>0.16551800824499996</v>
      </c>
      <c r="J194" s="806">
        <v>0.26698414781906316</v>
      </c>
      <c r="K194" s="68">
        <v>335120</v>
      </c>
      <c r="L194" s="68" t="s">
        <v>3502</v>
      </c>
      <c r="M194" s="69" t="s">
        <v>440</v>
      </c>
      <c r="N194" s="69" t="s">
        <v>760</v>
      </c>
      <c r="O194" s="70">
        <v>0.13818442533000003</v>
      </c>
      <c r="P194" s="70">
        <v>4.774318327999999E-2</v>
      </c>
      <c r="Q194" s="70">
        <v>0.18642977860999999</v>
      </c>
    </row>
    <row r="195" spans="3:17" ht="57">
      <c r="C195" s="321" t="s">
        <v>655</v>
      </c>
      <c r="D195" s="322"/>
      <c r="E195" s="783"/>
      <c r="F195" s="325"/>
      <c r="G195" s="319" t="str">
        <f>IFERROR(IF(E195="","",IF(F195="Direct-from-manufacturer",(E195*H195/1000*'Reporting Year &amp; Inflation Adj.'!$F$9),(E195*I195/1000*'Reporting Year &amp; Inflation Adj.'!$F$9))),"")</f>
        <v/>
      </c>
      <c r="H195" s="804">
        <v>0.30365725708000002</v>
      </c>
      <c r="I195" s="805">
        <v>0.32112661749499999</v>
      </c>
      <c r="J195" s="806">
        <v>5.3797857461220865E-2</v>
      </c>
      <c r="K195" s="68">
        <v>332430</v>
      </c>
      <c r="L195" s="68" t="s">
        <v>3503</v>
      </c>
      <c r="M195" s="69" t="s">
        <v>440</v>
      </c>
      <c r="N195" s="69" t="s">
        <v>653</v>
      </c>
      <c r="O195" s="70">
        <v>0.30446170125000005</v>
      </c>
      <c r="P195" s="70">
        <v>1.6628336758999995E-2</v>
      </c>
      <c r="Q195" s="70">
        <v>0.3210771509</v>
      </c>
    </row>
    <row r="196" spans="3:17" ht="42.75">
      <c r="C196" s="321" t="s">
        <v>608</v>
      </c>
      <c r="D196" s="322"/>
      <c r="E196" s="783"/>
      <c r="F196" s="325"/>
      <c r="G196" s="319" t="str">
        <f>IFERROR(IF(E196="","",IF(F196="Direct-from-manufacturer",(E196*H196/1000*'Reporting Year &amp; Inflation Adj.'!$F$9),(E196*I196/1000*'Reporting Year &amp; Inflation Adj.'!$F$9))),"")</f>
        <v/>
      </c>
      <c r="H196" s="804">
        <v>1.1301121352450003</v>
      </c>
      <c r="I196" s="805">
        <v>1.1869002558399999</v>
      </c>
      <c r="J196" s="806">
        <v>4.6118154196757473E-2</v>
      </c>
      <c r="K196" s="68">
        <v>327400</v>
      </c>
      <c r="L196" s="68" t="s">
        <v>3504</v>
      </c>
      <c r="M196" s="69" t="s">
        <v>440</v>
      </c>
      <c r="N196" s="69" t="s">
        <v>610</v>
      </c>
      <c r="O196" s="70">
        <v>1.5648657424599999</v>
      </c>
      <c r="P196" s="70">
        <v>6.3704883390000022E-2</v>
      </c>
      <c r="Q196" s="70">
        <v>1.6238222908600002</v>
      </c>
    </row>
    <row r="197" spans="3:17" ht="57">
      <c r="C197" s="321" t="s">
        <v>1095</v>
      </c>
      <c r="D197" s="322"/>
      <c r="E197" s="783"/>
      <c r="F197" s="323" t="s">
        <v>366</v>
      </c>
      <c r="G197" s="319" t="str">
        <f>IFERROR(IF(E197="","",IF(F197="Direct-from-manufacturer",(E197*H197/1000*'Reporting Year &amp; Inflation Adj.'!$F$9),(E197*I197/1000*'Reporting Year &amp; Inflation Adj.'!$F$9))),"")</f>
        <v/>
      </c>
      <c r="H197" s="804">
        <v>0.21761545506999999</v>
      </c>
      <c r="I197" s="805">
        <v>0.21761545506999999</v>
      </c>
      <c r="J197" s="806">
        <v>0</v>
      </c>
      <c r="K197" s="68">
        <v>722211</v>
      </c>
      <c r="L197" s="68" t="s">
        <v>3505</v>
      </c>
      <c r="M197" s="69" t="s">
        <v>1088</v>
      </c>
      <c r="N197" s="69" t="s">
        <v>1094</v>
      </c>
      <c r="O197" s="70">
        <v>0.25901789117000001</v>
      </c>
      <c r="P197" s="70">
        <v>0</v>
      </c>
      <c r="Q197" s="70">
        <v>0.25901789117000001</v>
      </c>
    </row>
    <row r="198" spans="3:17" ht="71.25">
      <c r="C198" s="321" t="s">
        <v>515</v>
      </c>
      <c r="D198" s="322"/>
      <c r="E198" s="783"/>
      <c r="F198" s="325"/>
      <c r="G198" s="319" t="str">
        <f>IFERROR(IF(E198="","",IF(F198="Direct-from-manufacturer",(E198*H198/1000*'Reporting Year &amp; Inflation Adj.'!$F$9),(E198*I198/1000*'Reporting Year &amp; Inflation Adj.'!$F$9))),"")</f>
        <v/>
      </c>
      <c r="H198" s="804">
        <v>0.25826116233999996</v>
      </c>
      <c r="I198" s="805">
        <v>0.30456027269999997</v>
      </c>
      <c r="J198" s="806">
        <v>0.15206480030840874</v>
      </c>
      <c r="K198" s="68">
        <v>321100</v>
      </c>
      <c r="L198" s="68" t="s">
        <v>3506</v>
      </c>
      <c r="M198" s="69" t="s">
        <v>440</v>
      </c>
      <c r="N198" s="69" t="s">
        <v>517</v>
      </c>
      <c r="O198" s="70">
        <v>0.22934040504999997</v>
      </c>
      <c r="P198" s="70">
        <v>3.7349531500000005E-2</v>
      </c>
      <c r="Q198" s="70">
        <v>0.26688500294999995</v>
      </c>
    </row>
    <row r="199" spans="3:17" ht="71.25">
      <c r="C199" s="321" t="s">
        <v>662</v>
      </c>
      <c r="D199" s="322"/>
      <c r="E199" s="783"/>
      <c r="F199" s="325"/>
      <c r="G199" s="319" t="str">
        <f>IFERROR(IF(E199="","",IF(F199="Direct-from-manufacturer",(E199*H199/1000*'Reporting Year &amp; Inflation Adj.'!$F$9),(E199*I199/1000*'Reporting Year &amp; Inflation Adj.'!$F$9))),"")</f>
        <v/>
      </c>
      <c r="H199" s="804">
        <v>0.239481297195</v>
      </c>
      <c r="I199" s="805">
        <v>0.25625921738000002</v>
      </c>
      <c r="J199" s="806">
        <v>6.2293342624739727E-2</v>
      </c>
      <c r="K199" s="68">
        <v>332710</v>
      </c>
      <c r="L199" s="68" t="s">
        <v>3507</v>
      </c>
      <c r="M199" s="69" t="s">
        <v>440</v>
      </c>
      <c r="N199" s="69" t="s">
        <v>664</v>
      </c>
      <c r="O199" s="70">
        <v>0.26290904342000004</v>
      </c>
      <c r="P199" s="70">
        <v>1.5984254212499997E-2</v>
      </c>
      <c r="Q199" s="70">
        <v>0.27897979502999992</v>
      </c>
    </row>
    <row r="200" spans="3:17" ht="99.75">
      <c r="C200" s="321" t="s">
        <v>685</v>
      </c>
      <c r="D200" s="322"/>
      <c r="E200" s="783"/>
      <c r="F200" s="325"/>
      <c r="G200" s="319" t="str">
        <f>IFERROR(IF(E200="","",IF(F200="Direct-from-manufacturer",(E200*H200/1000*'Reporting Year &amp; Inflation Adj.'!$F$9),(E200*I200/1000*'Reporting Year &amp; Inflation Adj.'!$F$9))),"")</f>
        <v/>
      </c>
      <c r="H200" s="804">
        <v>0.148825685565</v>
      </c>
      <c r="I200" s="805">
        <v>0.16545073474999999</v>
      </c>
      <c r="J200" s="806">
        <v>0.10366740365896139</v>
      </c>
      <c r="K200" s="68" t="s">
        <v>686</v>
      </c>
      <c r="L200" s="68" t="s">
        <v>3508</v>
      </c>
      <c r="M200" s="69" t="s">
        <v>440</v>
      </c>
      <c r="N200" s="69" t="s">
        <v>687</v>
      </c>
      <c r="O200" s="70">
        <v>0.16699157810000001</v>
      </c>
      <c r="P200" s="70">
        <v>1.9184227981000002E-2</v>
      </c>
      <c r="Q200" s="70">
        <v>0.18618044695000002</v>
      </c>
    </row>
    <row r="201" spans="3:17" ht="57">
      <c r="C201" s="321" t="s">
        <v>863</v>
      </c>
      <c r="D201" s="322"/>
      <c r="E201" s="783"/>
      <c r="F201" s="323" t="s">
        <v>366</v>
      </c>
      <c r="G201" s="319" t="str">
        <f>IFERROR(IF(E201="","",IF(F201="Direct-from-manufacturer",(E201*H201/1000*'Reporting Year &amp; Inflation Adj.'!$F$9),(E201*I201/1000*'Reporting Year &amp; Inflation Adj.'!$F$9))),"")</f>
        <v/>
      </c>
      <c r="H201" s="804">
        <v>0.10062789408000002</v>
      </c>
      <c r="I201" s="805">
        <v>0.10062789408000002</v>
      </c>
      <c r="J201" s="806">
        <v>0</v>
      </c>
      <c r="K201" s="68">
        <v>423800</v>
      </c>
      <c r="L201" s="68" t="s">
        <v>3509</v>
      </c>
      <c r="M201" s="69" t="s">
        <v>853</v>
      </c>
      <c r="N201" s="69" t="s">
        <v>865</v>
      </c>
      <c r="O201" s="70">
        <v>0.11616171309000001</v>
      </c>
      <c r="P201" s="70">
        <v>0</v>
      </c>
      <c r="Q201" s="70">
        <v>0.11616171309000001</v>
      </c>
    </row>
    <row r="202" spans="3:17" ht="71.25">
      <c r="C202" s="321" t="s">
        <v>906</v>
      </c>
      <c r="D202" s="322"/>
      <c r="E202" s="783"/>
      <c r="F202" s="325"/>
      <c r="G202" s="319" t="str">
        <f>IFERROR(IF(E202="","",IF(F202="Direct-from-manufacturer",(E202*H202/1000*'Reporting Year &amp; Inflation Adj.'!$F$9),(E202*I202/1000*'Reporting Year &amp; Inflation Adj.'!$F$9))),"")</f>
        <v/>
      </c>
      <c r="H202" s="804">
        <v>5.8711732764999996E-2</v>
      </c>
      <c r="I202" s="805">
        <v>0.10221566179000001</v>
      </c>
      <c r="J202" s="806">
        <v>0.42571200829672784</v>
      </c>
      <c r="K202" s="68">
        <v>511120</v>
      </c>
      <c r="L202" s="68" t="s">
        <v>3510</v>
      </c>
      <c r="M202" s="69" t="s">
        <v>904</v>
      </c>
      <c r="N202" s="69" t="s">
        <v>905</v>
      </c>
      <c r="O202" s="70">
        <v>5.9924941680000003E-2</v>
      </c>
      <c r="P202" s="70">
        <v>4.3694051579999997E-2</v>
      </c>
      <c r="Q202" s="70">
        <v>0.10364235376000001</v>
      </c>
    </row>
    <row r="203" spans="3:17" ht="85.5">
      <c r="C203" s="321" t="s">
        <v>4267</v>
      </c>
      <c r="D203" s="322"/>
      <c r="E203" s="783"/>
      <c r="F203" s="325"/>
      <c r="G203" s="319" t="str">
        <f>IFERROR(IF(E203="","",IF(F203="Direct-from-manufacturer",(E203*H203/1000*'Reporting Year &amp; Inflation Adj.'!$F$9),(E203*I203/1000*'Reporting Year &amp; Inflation Adj.'!$F$9))),"")</f>
        <v/>
      </c>
      <c r="H203" s="804">
        <v>0.1269146635</v>
      </c>
      <c r="I203" s="805">
        <v>0.15909099899999998</v>
      </c>
      <c r="J203" s="806">
        <v>0.19910927003481829</v>
      </c>
      <c r="K203" s="68">
        <v>335220</v>
      </c>
      <c r="L203" s="68" t="s">
        <v>3511</v>
      </c>
      <c r="M203" s="69" t="s">
        <v>440</v>
      </c>
      <c r="N203" s="69" t="s">
        <v>764</v>
      </c>
      <c r="O203" s="70">
        <v>0.13805835342000003</v>
      </c>
      <c r="P203" s="70">
        <v>3.4537123150000001E-2</v>
      </c>
      <c r="Q203" s="70">
        <v>0.17280543186999997</v>
      </c>
    </row>
    <row r="204" spans="3:17" ht="57">
      <c r="C204" s="321" t="s">
        <v>997</v>
      </c>
      <c r="D204" s="322"/>
      <c r="E204" s="783"/>
      <c r="F204" s="323" t="s">
        <v>366</v>
      </c>
      <c r="G204" s="319" t="str">
        <f>IFERROR(IF(E204="","",IF(F204="Direct-from-manufacturer",(E204*H204/1000*'Reporting Year &amp; Inflation Adj.'!$F$9),(E204*I204/1000*'Reporting Year &amp; Inflation Adj.'!$F$9))),"")</f>
        <v/>
      </c>
      <c r="H204" s="804">
        <v>7.3199015529999995E-2</v>
      </c>
      <c r="I204" s="805">
        <v>7.3199015529999995E-2</v>
      </c>
      <c r="J204" s="806">
        <v>0</v>
      </c>
      <c r="K204" s="68">
        <v>541610</v>
      </c>
      <c r="L204" s="68" t="s">
        <v>3512</v>
      </c>
      <c r="M204" s="69" t="s">
        <v>981</v>
      </c>
      <c r="N204" s="69" t="s">
        <v>1649</v>
      </c>
      <c r="O204" s="70">
        <v>7.845638363900001E-2</v>
      </c>
      <c r="P204" s="70">
        <v>0</v>
      </c>
      <c r="Q204" s="70">
        <v>7.845638363900001E-2</v>
      </c>
    </row>
    <row r="205" spans="3:17" ht="71.25">
      <c r="C205" s="321" t="s">
        <v>1000</v>
      </c>
      <c r="D205" s="322"/>
      <c r="E205" s="783"/>
      <c r="F205" s="323" t="s">
        <v>366</v>
      </c>
      <c r="G205" s="319" t="str">
        <f>IFERROR(IF(E205="","",IF(F205="Direct-from-manufacturer",(E205*H205/1000*'Reporting Year &amp; Inflation Adj.'!$F$9),(E205*I205/1000*'Reporting Year &amp; Inflation Adj.'!$F$9))),"")</f>
        <v/>
      </c>
      <c r="H205" s="804">
        <v>7.0180701964999995E-2</v>
      </c>
      <c r="I205" s="805">
        <v>7.0180701964999995E-2</v>
      </c>
      <c r="J205" s="806">
        <v>0</v>
      </c>
      <c r="K205" s="68" t="s">
        <v>3718</v>
      </c>
      <c r="L205" s="68" t="s">
        <v>3513</v>
      </c>
      <c r="M205" s="69" t="s">
        <v>981</v>
      </c>
      <c r="N205" s="69" t="s">
        <v>1652</v>
      </c>
      <c r="O205" s="70">
        <v>8.1123827140000007E-2</v>
      </c>
      <c r="P205" s="70">
        <v>0</v>
      </c>
      <c r="Q205" s="70">
        <v>8.1123827140000007E-2</v>
      </c>
    </row>
    <row r="206" spans="3:17" ht="57">
      <c r="C206" s="321" t="s">
        <v>716</v>
      </c>
      <c r="D206" s="322"/>
      <c r="E206" s="783"/>
      <c r="F206" s="325"/>
      <c r="G206" s="319" t="str">
        <f>IFERROR(IF(E206="","",IF(F206="Direct-from-manufacturer",(E206*H206/1000*'Reporting Year &amp; Inflation Adj.'!$F$9),(E206*I206/1000*'Reporting Year &amp; Inflation Adj.'!$F$9))),"")</f>
        <v/>
      </c>
      <c r="H206" s="804">
        <v>0.19902551700000001</v>
      </c>
      <c r="I206" s="805">
        <v>0.21803613956500001</v>
      </c>
      <c r="J206" s="806">
        <v>8.903612359277098E-2</v>
      </c>
      <c r="K206" s="68">
        <v>333920</v>
      </c>
      <c r="L206" s="68" t="s">
        <v>3514</v>
      </c>
      <c r="M206" s="69" t="s">
        <v>440</v>
      </c>
      <c r="N206" s="69" t="s">
        <v>715</v>
      </c>
      <c r="O206" s="70">
        <v>0.23506925406000001</v>
      </c>
      <c r="P206" s="70">
        <v>2.1880161209999999E-2</v>
      </c>
      <c r="Q206" s="70">
        <v>0.25672919133</v>
      </c>
    </row>
    <row r="207" spans="3:17" ht="42.75">
      <c r="C207" s="321" t="s">
        <v>833</v>
      </c>
      <c r="D207" s="322"/>
      <c r="E207" s="783"/>
      <c r="F207" s="325"/>
      <c r="G207" s="319" t="str">
        <f>IFERROR(IF(E207="","",IF(F207="Direct-from-manufacturer",(E207*H207/1000*'Reporting Year &amp; Inflation Adj.'!$F$9),(E207*I207/1000*'Reporting Year &amp; Inflation Adj.'!$F$9))),"")</f>
        <v/>
      </c>
      <c r="H207" s="804">
        <v>0.10098023998</v>
      </c>
      <c r="I207" s="805">
        <v>0.15884243544999999</v>
      </c>
      <c r="J207" s="806">
        <v>0.36628243378523451</v>
      </c>
      <c r="K207" s="68">
        <v>337900</v>
      </c>
      <c r="L207" s="68" t="s">
        <v>3515</v>
      </c>
      <c r="M207" s="69" t="s">
        <v>440</v>
      </c>
      <c r="N207" s="69" t="s">
        <v>835</v>
      </c>
      <c r="O207" s="70">
        <v>0.11213536111999997</v>
      </c>
      <c r="P207" s="70">
        <v>6.3218875420000001E-2</v>
      </c>
      <c r="Q207" s="70">
        <v>0.17517077397999997</v>
      </c>
    </row>
    <row r="208" spans="3:17" ht="114">
      <c r="C208" s="321" t="s">
        <v>4268</v>
      </c>
      <c r="D208" s="322"/>
      <c r="E208" s="783"/>
      <c r="F208" s="323" t="s">
        <v>366</v>
      </c>
      <c r="G208" s="319" t="str">
        <f>IFERROR(IF(E208="","",IF(F208="Direct-from-manufacturer",(E208*H208/1000*'Reporting Year &amp; Inflation Adj.'!$F$9),(E208*I208/1000*'Reporting Year &amp; Inflation Adj.'!$F$9))),"")</f>
        <v/>
      </c>
      <c r="H208" s="804">
        <v>0.145700638725</v>
      </c>
      <c r="I208" s="805">
        <v>0.16581118433499997</v>
      </c>
      <c r="J208" s="806">
        <v>0.12064055721105894</v>
      </c>
      <c r="K208" s="68">
        <v>333914</v>
      </c>
      <c r="L208" s="68" t="s">
        <v>3516</v>
      </c>
      <c r="M208" s="69" t="s">
        <v>440</v>
      </c>
      <c r="N208" s="69" t="s">
        <v>715</v>
      </c>
      <c r="O208" s="70">
        <v>0.22464535885999998</v>
      </c>
      <c r="P208" s="70">
        <v>0</v>
      </c>
      <c r="Q208" s="70">
        <v>0.22464535885999998</v>
      </c>
    </row>
    <row r="209" spans="3:17" ht="71.25">
      <c r="C209" s="321" t="s">
        <v>711</v>
      </c>
      <c r="D209" s="322"/>
      <c r="E209" s="783"/>
      <c r="F209" s="325"/>
      <c r="G209" s="319" t="str">
        <f>IFERROR(IF(E209="","",IF(F209="Direct-from-manufacturer",(E209*H209/1000*'Reporting Year &amp; Inflation Adj.'!$F$9),(E209*I209/1000*'Reporting Year &amp; Inflation Adj.'!$F$9))),"")</f>
        <v/>
      </c>
      <c r="H209" s="804">
        <v>0.15171620014499998</v>
      </c>
      <c r="I209" s="805">
        <v>0.17078110394500004</v>
      </c>
      <c r="J209" s="806">
        <v>0.11090014540542785</v>
      </c>
      <c r="K209" s="68">
        <v>333613</v>
      </c>
      <c r="L209" s="68" t="s">
        <v>3517</v>
      </c>
      <c r="M209" s="69" t="s">
        <v>440</v>
      </c>
      <c r="N209" s="69" t="s">
        <v>709</v>
      </c>
      <c r="O209" s="70">
        <v>0.18769892819999998</v>
      </c>
      <c r="P209" s="70">
        <v>2.211478955E-2</v>
      </c>
      <c r="Q209" s="70">
        <v>0.20954683108000002</v>
      </c>
    </row>
    <row r="210" spans="3:17" ht="57">
      <c r="C210" s="321" t="s">
        <v>1049</v>
      </c>
      <c r="D210" s="322"/>
      <c r="E210" s="783"/>
      <c r="F210" s="323" t="s">
        <v>366</v>
      </c>
      <c r="G210" s="319" t="str">
        <f>IFERROR(IF(E210="","",IF(F210="Direct-from-manufacturer",(E210*H210/1000*'Reporting Year &amp; Inflation Adj.'!$F$9),(E210*I210/1000*'Reporting Year &amp; Inflation Adj.'!$F$9))),"")</f>
        <v/>
      </c>
      <c r="H210" s="804">
        <v>8.8611413385000004E-2</v>
      </c>
      <c r="I210" s="805">
        <v>8.8611413385000004E-2</v>
      </c>
      <c r="J210" s="806">
        <v>0</v>
      </c>
      <c r="K210" s="68">
        <v>621500</v>
      </c>
      <c r="L210" s="68" t="s">
        <v>3518</v>
      </c>
      <c r="M210" s="69" t="s">
        <v>1038</v>
      </c>
      <c r="N210" s="69" t="s">
        <v>1050</v>
      </c>
      <c r="O210" s="70">
        <v>9.3210193869999999E-2</v>
      </c>
      <c r="P210" s="70">
        <v>0</v>
      </c>
      <c r="Q210" s="70">
        <v>9.3210193869999999E-2</v>
      </c>
    </row>
    <row r="211" spans="3:17" ht="57">
      <c r="C211" s="321" t="s">
        <v>563</v>
      </c>
      <c r="D211" s="322"/>
      <c r="E211" s="783"/>
      <c r="F211" s="325"/>
      <c r="G211" s="319" t="str">
        <f>IFERROR(IF(E211="","",IF(F211="Direct-from-manufacturer",(E211*H211/1000*'Reporting Year &amp; Inflation Adj.'!$F$9),(E211*I211/1000*'Reporting Year &amp; Inflation Adj.'!$F$9))),"")</f>
        <v/>
      </c>
      <c r="H211" s="804">
        <v>0.13868467519999997</v>
      </c>
      <c r="I211" s="805">
        <v>0.17272508098999997</v>
      </c>
      <c r="J211" s="806">
        <v>0.19937885735884411</v>
      </c>
      <c r="K211" s="68">
        <v>325411</v>
      </c>
      <c r="L211" s="68" t="s">
        <v>3519</v>
      </c>
      <c r="M211" s="69" t="s">
        <v>440</v>
      </c>
      <c r="N211" s="69" t="s">
        <v>565</v>
      </c>
      <c r="O211" s="70">
        <v>0.15216258832999996</v>
      </c>
      <c r="P211" s="70">
        <v>3.783716116E-2</v>
      </c>
      <c r="Q211" s="70">
        <v>0.19012767231</v>
      </c>
    </row>
    <row r="212" spans="3:17" ht="142.5">
      <c r="C212" s="321" t="s">
        <v>666</v>
      </c>
      <c r="D212" s="322"/>
      <c r="E212" s="783"/>
      <c r="F212" s="325"/>
      <c r="G212" s="319" t="str">
        <f>IFERROR(IF(E212="","",IF(F212="Direct-from-manufacturer",(E212*H212/1000*'Reporting Year &amp; Inflation Adj.'!$F$9),(E212*I212/1000*'Reporting Year &amp; Inflation Adj.'!$F$9))),"")</f>
        <v/>
      </c>
      <c r="H212" s="804">
        <v>0.32779011209999998</v>
      </c>
      <c r="I212" s="805">
        <v>0.341383834035</v>
      </c>
      <c r="J212" s="806">
        <v>4.2143192937557167E-2</v>
      </c>
      <c r="K212" s="68">
        <v>332800</v>
      </c>
      <c r="L212" s="68" t="s">
        <v>3520</v>
      </c>
      <c r="M212" s="69" t="s">
        <v>440</v>
      </c>
      <c r="N212" s="69" t="s">
        <v>668</v>
      </c>
      <c r="O212" s="70">
        <v>0.36949350787999996</v>
      </c>
      <c r="P212" s="70">
        <v>1.5065600589399999E-2</v>
      </c>
      <c r="Q212" s="70">
        <v>0.38448567083999996</v>
      </c>
    </row>
    <row r="213" spans="3:17" ht="57">
      <c r="C213" s="321" t="s">
        <v>706</v>
      </c>
      <c r="D213" s="322"/>
      <c r="E213" s="783"/>
      <c r="F213" s="325"/>
      <c r="G213" s="319" t="str">
        <f>IFERROR(IF(E213="","",IF(F213="Direct-from-manufacturer",(E213*H213/1000*'Reporting Year &amp; Inflation Adj.'!$F$9),(E213*I213/1000*'Reporting Year &amp; Inflation Adj.'!$F$9))),"")</f>
        <v/>
      </c>
      <c r="H213" s="804">
        <v>0.15757936383999999</v>
      </c>
      <c r="I213" s="805">
        <v>0.178879735895</v>
      </c>
      <c r="J213" s="806">
        <v>0.11970622646474138</v>
      </c>
      <c r="K213" s="68">
        <v>333517</v>
      </c>
      <c r="L213" s="68" t="s">
        <v>3521</v>
      </c>
      <c r="M213" s="69" t="s">
        <v>440</v>
      </c>
      <c r="N213" s="69" t="s">
        <v>702</v>
      </c>
      <c r="O213" s="70">
        <v>0.17665353891000002</v>
      </c>
      <c r="P213" s="70">
        <v>2.3260007570000001E-2</v>
      </c>
      <c r="Q213" s="70">
        <v>0.20048473758999999</v>
      </c>
    </row>
    <row r="214" spans="3:17" ht="30">
      <c r="C214" s="321" t="s">
        <v>656</v>
      </c>
      <c r="D214" s="322"/>
      <c r="E214" s="783"/>
      <c r="F214" s="325"/>
      <c r="G214" s="319" t="str">
        <f>IFERROR(IF(E214="","",IF(F214="Direct-from-manufacturer",(E214*H214/1000*'Reporting Year &amp; Inflation Adj.'!$F$9),(E214*I214/1000*'Reporting Year &amp; Inflation Adj.'!$F$9))),"")</f>
        <v/>
      </c>
      <c r="H214" s="804">
        <v>0.14821991852000005</v>
      </c>
      <c r="I214" s="805">
        <v>0.17948298181000003</v>
      </c>
      <c r="J214" s="806">
        <v>0.17752684498929316</v>
      </c>
      <c r="K214" s="68">
        <v>332500</v>
      </c>
      <c r="L214" s="68" t="s">
        <v>3522</v>
      </c>
      <c r="M214" s="69" t="s">
        <v>440</v>
      </c>
      <c r="N214" s="69" t="s">
        <v>658</v>
      </c>
      <c r="O214" s="70">
        <v>0.15773793158999996</v>
      </c>
      <c r="P214" s="70">
        <v>3.3986597080000007E-2</v>
      </c>
      <c r="Q214" s="70">
        <v>0.19153918420999999</v>
      </c>
    </row>
    <row r="215" spans="3:17" ht="57">
      <c r="C215" s="321" t="s">
        <v>672</v>
      </c>
      <c r="D215" s="322"/>
      <c r="E215" s="783"/>
      <c r="F215" s="325"/>
      <c r="G215" s="319" t="str">
        <f>IFERROR(IF(E215="","",IF(F215="Direct-from-manufacturer",(E215*H215/1000*'Reporting Year &amp; Inflation Adj.'!$F$9),(E215*I215/1000*'Reporting Year &amp; Inflation Adj.'!$F$9))),"")</f>
        <v/>
      </c>
      <c r="H215" s="804">
        <v>0.116810439445</v>
      </c>
      <c r="I215" s="805">
        <v>0.15741745796499998</v>
      </c>
      <c r="J215" s="806">
        <v>0.25982077114403496</v>
      </c>
      <c r="K215" s="68">
        <v>332913</v>
      </c>
      <c r="L215" s="68" t="s">
        <v>3523</v>
      </c>
      <c r="M215" s="69" t="s">
        <v>440</v>
      </c>
      <c r="N215" s="69" t="s">
        <v>671</v>
      </c>
      <c r="O215" s="70">
        <v>0.12694159949999997</v>
      </c>
      <c r="P215" s="70">
        <v>4.5281268800000003E-2</v>
      </c>
      <c r="Q215" s="70">
        <v>0.17242699350000004</v>
      </c>
    </row>
    <row r="216" spans="3:17" ht="42.75">
      <c r="C216" s="321" t="s">
        <v>647</v>
      </c>
      <c r="D216" s="322"/>
      <c r="E216" s="783"/>
      <c r="F216" s="325"/>
      <c r="G216" s="319" t="str">
        <f>IFERROR(IF(E216="","",IF(F216="Direct-from-manufacturer",(E216*H216/1000*'Reporting Year &amp; Inflation Adj.'!$F$9),(E216*I216/1000*'Reporting Year &amp; Inflation Adj.'!$F$9))),"")</f>
        <v/>
      </c>
      <c r="H216" s="804">
        <v>0.234686801295</v>
      </c>
      <c r="I216" s="805">
        <v>0.25128445093000001</v>
      </c>
      <c r="J216" s="806">
        <v>6.755521613921453E-2</v>
      </c>
      <c r="K216" s="68">
        <v>332310</v>
      </c>
      <c r="L216" s="68" t="s">
        <v>3524</v>
      </c>
      <c r="M216" s="69" t="s">
        <v>440</v>
      </c>
      <c r="N216" s="69" t="s">
        <v>649</v>
      </c>
      <c r="O216" s="70">
        <v>0.24614917736999997</v>
      </c>
      <c r="P216" s="70">
        <v>1.6864152746999997E-2</v>
      </c>
      <c r="Q216" s="70">
        <v>0.26390643343000003</v>
      </c>
    </row>
    <row r="217" spans="3:17" ht="57">
      <c r="C217" s="321" t="s">
        <v>650</v>
      </c>
      <c r="D217" s="322"/>
      <c r="E217" s="783"/>
      <c r="F217" s="325"/>
      <c r="G217" s="319" t="str">
        <f>IFERROR(IF(E217="","",IF(F217="Direct-from-manufacturer",(E217*H217/1000*'Reporting Year &amp; Inflation Adj.'!$F$9),(E217*I217/1000*'Reporting Year &amp; Inflation Adj.'!$F$9))),"")</f>
        <v/>
      </c>
      <c r="H217" s="804">
        <v>0.17751361817500003</v>
      </c>
      <c r="I217" s="805">
        <v>0.20217152897500001</v>
      </c>
      <c r="J217" s="806">
        <v>0.12047551951794304</v>
      </c>
      <c r="K217" s="68">
        <v>332320</v>
      </c>
      <c r="L217" s="68" t="s">
        <v>3525</v>
      </c>
      <c r="M217" s="69" t="s">
        <v>440</v>
      </c>
      <c r="N217" s="69" t="s">
        <v>649</v>
      </c>
      <c r="O217" s="70">
        <v>0.19616578158000009</v>
      </c>
      <c r="P217" s="70">
        <v>2.6084086909999998E-2</v>
      </c>
      <c r="Q217" s="70">
        <v>0.22224129030000003</v>
      </c>
    </row>
    <row r="218" spans="3:17" ht="57">
      <c r="C218" s="321" t="s">
        <v>818</v>
      </c>
      <c r="D218" s="322"/>
      <c r="E218" s="783"/>
      <c r="F218" s="325"/>
      <c r="G218" s="319" t="str">
        <f>IFERROR(IF(E218="","",IF(F218="Direct-from-manufacturer",(E218*H218/1000*'Reporting Year &amp; Inflation Adj.'!$F$9),(E218*I218/1000*'Reporting Year &amp; Inflation Adj.'!$F$9))),"")</f>
        <v/>
      </c>
      <c r="H218" s="804">
        <v>0.42878578600500006</v>
      </c>
      <c r="I218" s="805">
        <v>0.43956281938500008</v>
      </c>
      <c r="J218" s="806">
        <v>2.6268261320770894E-2</v>
      </c>
      <c r="K218" s="68">
        <v>336992</v>
      </c>
      <c r="L218" s="68" t="s">
        <v>3526</v>
      </c>
      <c r="M218" s="69" t="s">
        <v>440</v>
      </c>
      <c r="N218" s="69" t="s">
        <v>817</v>
      </c>
      <c r="O218" s="70">
        <v>0.43472835452000003</v>
      </c>
      <c r="P218" s="70">
        <v>1.1999933338E-2</v>
      </c>
      <c r="Q218" s="70">
        <v>0.44669559297</v>
      </c>
    </row>
    <row r="219" spans="3:17" ht="57">
      <c r="C219" s="321" t="s">
        <v>616</v>
      </c>
      <c r="D219" s="322"/>
      <c r="E219" s="783"/>
      <c r="F219" s="325"/>
      <c r="G219" s="319" t="str">
        <f>IFERROR(IF(E219="","",IF(F219="Direct-from-manufacturer",(E219*H219/1000*'Reporting Year &amp; Inflation Adj.'!$F$9),(E219*I219/1000*'Reporting Year &amp; Inflation Adj.'!$F$9))),"")</f>
        <v/>
      </c>
      <c r="H219" s="804">
        <v>0.2892536637</v>
      </c>
      <c r="I219" s="805">
        <v>0.33727425186999999</v>
      </c>
      <c r="J219" s="806">
        <v>0.14291397491136923</v>
      </c>
      <c r="K219" s="68">
        <v>327993</v>
      </c>
      <c r="L219" s="68" t="s">
        <v>3527</v>
      </c>
      <c r="M219" s="69" t="s">
        <v>440</v>
      </c>
      <c r="N219" s="69" t="s">
        <v>613</v>
      </c>
      <c r="O219" s="70">
        <v>0.34039864989999996</v>
      </c>
      <c r="P219" s="70">
        <v>5.3911321839999998E-2</v>
      </c>
      <c r="Q219" s="70">
        <v>0.39510705652999994</v>
      </c>
    </row>
    <row r="220" spans="3:17" ht="57">
      <c r="C220" s="321" t="s">
        <v>684</v>
      </c>
      <c r="D220" s="322"/>
      <c r="E220" s="783"/>
      <c r="F220" s="325"/>
      <c r="G220" s="319" t="str">
        <f>IFERROR(IF(E220="","",IF(F220="Direct-from-manufacturer",(E220*H220/1000*'Reporting Year &amp; Inflation Adj.'!$F$9),(E220*I220/1000*'Reporting Year &amp; Inflation Adj.'!$F$9))),"")</f>
        <v/>
      </c>
      <c r="H220" s="804">
        <v>0.13554474814</v>
      </c>
      <c r="I220" s="805">
        <v>0.17076177072000001</v>
      </c>
      <c r="J220" s="806">
        <v>0.2050057541122691</v>
      </c>
      <c r="K220" s="68">
        <v>333130</v>
      </c>
      <c r="L220" s="68" t="s">
        <v>3528</v>
      </c>
      <c r="M220" s="69" t="s">
        <v>440</v>
      </c>
      <c r="N220" s="69" t="s">
        <v>681</v>
      </c>
      <c r="O220" s="70">
        <v>0.17547986597999998</v>
      </c>
      <c r="P220" s="70">
        <v>4.4666078129999988E-2</v>
      </c>
      <c r="Q220" s="70">
        <v>0.22076315070000005</v>
      </c>
    </row>
    <row r="221" spans="3:17" ht="71.25">
      <c r="C221" s="321" t="s">
        <v>678</v>
      </c>
      <c r="D221" s="322"/>
      <c r="E221" s="783"/>
      <c r="F221" s="325"/>
      <c r="G221" s="319" t="str">
        <f>IFERROR(IF(E221="","",IF(F221="Direct-from-manufacturer",(E221*H221/1000*'Reporting Year &amp; Inflation Adj.'!$F$9),(E221*I221/1000*'Reporting Year &amp; Inflation Adj.'!$F$9))),"")</f>
        <v/>
      </c>
      <c r="H221" s="804">
        <v>0.23163836678500002</v>
      </c>
      <c r="I221" s="805">
        <v>0.25530224662500001</v>
      </c>
      <c r="J221" s="806">
        <v>9.0322699348866317E-2</v>
      </c>
      <c r="K221" s="68">
        <v>332999</v>
      </c>
      <c r="L221" s="68" t="s">
        <v>3529</v>
      </c>
      <c r="M221" s="69" t="s">
        <v>440</v>
      </c>
      <c r="N221" s="69" t="s">
        <v>671</v>
      </c>
      <c r="O221" s="70">
        <v>0.24895806993</v>
      </c>
      <c r="P221" s="70">
        <v>2.4344083249999999E-2</v>
      </c>
      <c r="Q221" s="70">
        <v>0.27399856318000004</v>
      </c>
    </row>
    <row r="222" spans="3:17" ht="409.5">
      <c r="C222" s="321" t="s">
        <v>941</v>
      </c>
      <c r="D222" s="322"/>
      <c r="E222" s="783"/>
      <c r="F222" s="323" t="s">
        <v>366</v>
      </c>
      <c r="G222" s="319" t="str">
        <f>IFERROR(IF(E222="","",IF(F222="Direct-from-manufacturer",(E222*H222/1000*'Reporting Year &amp; Inflation Adj.'!$F$9),(E222*I222/1000*'Reporting Year &amp; Inflation Adj.'!$F$9))),"")</f>
        <v/>
      </c>
      <c r="H222" s="804">
        <v>4.9798139365000008E-2</v>
      </c>
      <c r="I222" s="805">
        <v>4.9798139365000008E-2</v>
      </c>
      <c r="J222" s="806">
        <v>0</v>
      </c>
      <c r="K222" s="68" t="s">
        <v>942</v>
      </c>
      <c r="L222" s="68" t="s">
        <v>3530</v>
      </c>
      <c r="M222" s="69" t="s">
        <v>943</v>
      </c>
      <c r="N222" s="69" t="s">
        <v>944</v>
      </c>
      <c r="O222" s="70">
        <v>5.9547331199000006E-2</v>
      </c>
      <c r="P222" s="70">
        <v>0</v>
      </c>
      <c r="Q222" s="70">
        <v>5.9547331199000006E-2</v>
      </c>
    </row>
    <row r="223" spans="3:17" ht="57">
      <c r="C223" s="321" t="s">
        <v>788</v>
      </c>
      <c r="D223" s="322"/>
      <c r="E223" s="783"/>
      <c r="F223" s="325"/>
      <c r="G223" s="319" t="str">
        <f>IFERROR(IF(E223="","",IF(F223="Direct-from-manufacturer",(E223*H223/1000*'Reporting Year &amp; Inflation Adj.'!$F$9),(E223*I223/1000*'Reporting Year &amp; Inflation Adj.'!$F$9))),"")</f>
        <v/>
      </c>
      <c r="H223" s="804">
        <v>5.1609785270000007E-2</v>
      </c>
      <c r="I223" s="805">
        <v>0.10056514502</v>
      </c>
      <c r="J223" s="806">
        <v>0.48685389212398505</v>
      </c>
      <c r="K223" s="68">
        <v>336213</v>
      </c>
      <c r="L223" s="68" t="s">
        <v>3531</v>
      </c>
      <c r="M223" s="69" t="s">
        <v>440</v>
      </c>
      <c r="N223" s="69" t="s">
        <v>786</v>
      </c>
      <c r="O223" s="70">
        <v>5.5455154110000002E-2</v>
      </c>
      <c r="P223" s="70">
        <v>5.2085737991000004E-2</v>
      </c>
      <c r="Q223" s="70">
        <v>0.10754835843</v>
      </c>
    </row>
    <row r="224" spans="3:17" ht="71.25">
      <c r="C224" s="321" t="s">
        <v>851</v>
      </c>
      <c r="D224" s="322"/>
      <c r="E224" s="783"/>
      <c r="F224" s="323" t="s">
        <v>366</v>
      </c>
      <c r="G224" s="319" t="str">
        <f>IFERROR(IF(E224="","",IF(F224="Direct-from-manufacturer",(E224*H224/1000*'Reporting Year &amp; Inflation Adj.'!$F$9),(E224*I224/1000*'Reporting Year &amp; Inflation Adj.'!$F$9))),"")</f>
        <v/>
      </c>
      <c r="H224" s="804">
        <v>0.103073397565</v>
      </c>
      <c r="I224" s="805">
        <v>0.103073397565</v>
      </c>
      <c r="J224" s="806">
        <v>0</v>
      </c>
      <c r="K224" s="68">
        <v>423100</v>
      </c>
      <c r="L224" s="68" t="s">
        <v>3532</v>
      </c>
      <c r="M224" s="69" t="s">
        <v>853</v>
      </c>
      <c r="N224" s="69" t="s">
        <v>854</v>
      </c>
      <c r="O224" s="70">
        <v>0.11588971011000003</v>
      </c>
      <c r="P224" s="70">
        <v>0</v>
      </c>
      <c r="Q224" s="70">
        <v>0.11588971011000003</v>
      </c>
    </row>
    <row r="225" spans="3:17" ht="114">
      <c r="C225" s="321" t="s">
        <v>794</v>
      </c>
      <c r="D225" s="322"/>
      <c r="E225" s="783"/>
      <c r="F225" s="325"/>
      <c r="G225" s="319" t="str">
        <f>IFERROR(IF(E225="","",IF(F225="Direct-from-manufacturer",(E225*H225/1000*'Reporting Year &amp; Inflation Adj.'!$F$9),(E225*I225/1000*'Reporting Year &amp; Inflation Adj.'!$F$9))),"")</f>
        <v/>
      </c>
      <c r="H225" s="804">
        <v>0.23763090855000002</v>
      </c>
      <c r="I225" s="805">
        <v>0.26481318108999996</v>
      </c>
      <c r="J225" s="806">
        <v>9.9684432196101319E-2</v>
      </c>
      <c r="K225" s="68" t="s">
        <v>795</v>
      </c>
      <c r="L225" s="68" t="s">
        <v>3533</v>
      </c>
      <c r="M225" s="69" t="s">
        <v>440</v>
      </c>
      <c r="N225" s="69" t="s">
        <v>792</v>
      </c>
      <c r="O225" s="70">
        <v>0.25139128535999999</v>
      </c>
      <c r="P225" s="70">
        <v>2.7809369100000002E-2</v>
      </c>
      <c r="Q225" s="70">
        <v>0.27993925558999988</v>
      </c>
    </row>
    <row r="226" spans="3:17" ht="57">
      <c r="C226" s="321" t="s">
        <v>815</v>
      </c>
      <c r="D226" s="322"/>
      <c r="E226" s="783"/>
      <c r="F226" s="325"/>
      <c r="G226" s="319" t="str">
        <f>IFERROR(IF(E226="","",IF(F226="Direct-from-manufacturer",(E226*H226/1000*'Reporting Year &amp; Inflation Adj.'!$F$9),(E226*I226/1000*'Reporting Year &amp; Inflation Adj.'!$F$9))),"")</f>
        <v/>
      </c>
      <c r="H226" s="804">
        <v>0.18786293635999995</v>
      </c>
      <c r="I226" s="805">
        <v>0.22818258487000001</v>
      </c>
      <c r="J226" s="806">
        <v>0.17666775855382125</v>
      </c>
      <c r="K226" s="68">
        <v>336991</v>
      </c>
      <c r="L226" s="68" t="s">
        <v>3534</v>
      </c>
      <c r="M226" s="69" t="s">
        <v>440</v>
      </c>
      <c r="N226" s="69" t="s">
        <v>817</v>
      </c>
      <c r="O226" s="70">
        <v>0.17845712620000001</v>
      </c>
      <c r="P226" s="70">
        <v>4.4248408779999998E-2</v>
      </c>
      <c r="Q226" s="70">
        <v>0.22240127508000002</v>
      </c>
    </row>
    <row r="227" spans="3:17" ht="57">
      <c r="C227" s="321" t="s">
        <v>768</v>
      </c>
      <c r="D227" s="322"/>
      <c r="E227" s="783"/>
      <c r="F227" s="325"/>
      <c r="G227" s="319" t="str">
        <f>IFERROR(IF(E227="","",IF(F227="Direct-from-manufacturer",(E227*H227/1000*'Reporting Year &amp; Inflation Adj.'!$F$9),(E227*I227/1000*'Reporting Year &amp; Inflation Adj.'!$F$9))),"")</f>
        <v/>
      </c>
      <c r="H227" s="804">
        <v>0.11248662950499999</v>
      </c>
      <c r="I227" s="805">
        <v>0.12934799046500001</v>
      </c>
      <c r="J227" s="806">
        <v>0.1265831432026028</v>
      </c>
      <c r="K227" s="68">
        <v>335312</v>
      </c>
      <c r="L227" s="68" t="s">
        <v>3535</v>
      </c>
      <c r="M227" s="69" t="s">
        <v>440</v>
      </c>
      <c r="N227" s="69" t="s">
        <v>767</v>
      </c>
      <c r="O227" s="70">
        <v>0.13415954056999999</v>
      </c>
      <c r="P227" s="70">
        <v>1.9417250790000003E-2</v>
      </c>
      <c r="Q227" s="70">
        <v>0.15369115055999999</v>
      </c>
    </row>
    <row r="228" spans="3:17" ht="71.25">
      <c r="C228" s="321" t="s">
        <v>913</v>
      </c>
      <c r="D228" s="322"/>
      <c r="E228" s="783"/>
      <c r="F228" s="325"/>
      <c r="G228" s="319" t="str">
        <f>IFERROR(IF(E228="","",IF(F228="Direct-from-manufacturer",(E228*H228/1000*'Reporting Year &amp; Inflation Adj.'!$F$9),(E228*I228/1000*'Reporting Year &amp; Inflation Adj.'!$F$9))),"")</f>
        <v/>
      </c>
      <c r="H228" s="804">
        <v>4.4156467234999996E-2</v>
      </c>
      <c r="I228" s="805">
        <v>4.9020536115000006E-2</v>
      </c>
      <c r="J228" s="806">
        <v>9.8462373925834401E-2</v>
      </c>
      <c r="K228" s="68">
        <v>512100</v>
      </c>
      <c r="L228" s="68" t="s">
        <v>3536</v>
      </c>
      <c r="M228" s="69" t="s">
        <v>904</v>
      </c>
      <c r="N228" s="69" t="s">
        <v>915</v>
      </c>
      <c r="O228" s="70">
        <v>4.6954067701000003E-2</v>
      </c>
      <c r="P228" s="70">
        <v>5.103385412999999E-3</v>
      </c>
      <c r="Q228" s="70">
        <v>5.2086446556000011E-2</v>
      </c>
    </row>
    <row r="229" spans="3:17" ht="28.5">
      <c r="C229" s="321" t="s">
        <v>399</v>
      </c>
      <c r="D229" s="322"/>
      <c r="E229" s="783"/>
      <c r="F229" s="323" t="s">
        <v>366</v>
      </c>
      <c r="G229" s="319" t="str">
        <f>IFERROR(IF(E229="","",IF(F229="Direct-from-manufacturer",(E229*H229/1000*'Reporting Year &amp; Inflation Adj.'!$F$9),(E229*I229/1000*'Reporting Year &amp; Inflation Adj.'!$F$9))),"")</f>
        <v/>
      </c>
      <c r="H229" s="804">
        <v>0.193744466005</v>
      </c>
      <c r="I229" s="805">
        <v>0.193744466005</v>
      </c>
      <c r="J229" s="806">
        <v>0</v>
      </c>
      <c r="K229" s="68">
        <v>233412</v>
      </c>
      <c r="L229" s="68" t="s">
        <v>3537</v>
      </c>
      <c r="M229" s="69" t="s">
        <v>397</v>
      </c>
      <c r="N229" s="69" t="s">
        <v>398</v>
      </c>
      <c r="O229" s="70">
        <v>0.22235945130999996</v>
      </c>
      <c r="P229" s="70">
        <v>0</v>
      </c>
      <c r="Q229" s="70">
        <v>0.22235945130999996</v>
      </c>
    </row>
    <row r="230" spans="3:17" ht="42.75">
      <c r="C230" s="321" t="s">
        <v>1079</v>
      </c>
      <c r="D230" s="322"/>
      <c r="E230" s="783"/>
      <c r="F230" s="323" t="s">
        <v>366</v>
      </c>
      <c r="G230" s="319" t="str">
        <f>IFERROR(IF(E230="","",IF(F230="Direct-from-manufacturer",(E230*H230/1000*'Reporting Year &amp; Inflation Adj.'!$F$9),(E230*I230/1000*'Reporting Year &amp; Inflation Adj.'!$F$9))),"")</f>
        <v/>
      </c>
      <c r="H230" s="804">
        <v>0.11641052013500001</v>
      </c>
      <c r="I230" s="805">
        <v>0.11641052013500001</v>
      </c>
      <c r="J230" s="806">
        <v>0</v>
      </c>
      <c r="K230" s="68">
        <v>712000</v>
      </c>
      <c r="L230" s="68" t="s">
        <v>3538</v>
      </c>
      <c r="M230" s="69" t="s">
        <v>1071</v>
      </c>
      <c r="N230" s="69" t="s">
        <v>1080</v>
      </c>
      <c r="O230" s="70">
        <v>0.13738901687999999</v>
      </c>
      <c r="P230" s="70">
        <v>0</v>
      </c>
      <c r="Q230" s="70">
        <v>0.13738901687999999</v>
      </c>
    </row>
    <row r="231" spans="3:17" ht="71.25">
      <c r="C231" s="321" t="s">
        <v>10</v>
      </c>
      <c r="D231" s="322"/>
      <c r="E231" s="783"/>
      <c r="F231" s="323" t="s">
        <v>366</v>
      </c>
      <c r="G231" s="319" t="str">
        <f>IFERROR(IF(E231="","",IF(F231="Direct-from-manufacturer",(E231*H231/1000*'Reporting Year &amp; Inflation Adj.'!$F$9),(E231*I231/1000*'Reporting Year &amp; Inflation Adj.'!$F$9))),"")</f>
        <v/>
      </c>
      <c r="H231" s="804">
        <v>0.53228488113999994</v>
      </c>
      <c r="I231" s="805">
        <v>0.53228488113999994</v>
      </c>
      <c r="J231" s="806">
        <v>0</v>
      </c>
      <c r="K231" s="68">
        <v>221200</v>
      </c>
      <c r="L231" s="68" t="s">
        <v>3539</v>
      </c>
      <c r="M231" s="69" t="s">
        <v>391</v>
      </c>
      <c r="N231" s="69" t="s">
        <v>392</v>
      </c>
      <c r="O231" s="70">
        <v>0.54633095323799985</v>
      </c>
      <c r="P231" s="70">
        <v>0</v>
      </c>
      <c r="Q231" s="70">
        <v>0.54633095323799985</v>
      </c>
    </row>
    <row r="232" spans="3:17" ht="71.25">
      <c r="C232" s="321" t="s">
        <v>746</v>
      </c>
      <c r="D232" s="322"/>
      <c r="E232" s="783"/>
      <c r="F232" s="325"/>
      <c r="G232" s="319" t="str">
        <f>IFERROR(IF(E232="","",IF(F232="Direct-from-manufacturer",(E232*H232/1000*'Reporting Year &amp; Inflation Adj.'!$F$9),(E232*I232/1000*'Reporting Year &amp; Inflation Adj.'!$F$9))),"")</f>
        <v/>
      </c>
      <c r="H232" s="804">
        <v>4.6855302889999999E-2</v>
      </c>
      <c r="I232" s="805">
        <v>6.3714119429999994E-2</v>
      </c>
      <c r="J232" s="806">
        <v>0.26609459083283143</v>
      </c>
      <c r="K232" s="68">
        <v>334511</v>
      </c>
      <c r="L232" s="68" t="s">
        <v>3540</v>
      </c>
      <c r="M232" s="69" t="s">
        <v>440</v>
      </c>
      <c r="N232" s="69" t="s">
        <v>745</v>
      </c>
      <c r="O232" s="70">
        <v>5.1906277309999992E-2</v>
      </c>
      <c r="P232" s="70">
        <v>1.9225807470000002E-2</v>
      </c>
      <c r="Q232" s="70">
        <v>7.1224082559999999E-2</v>
      </c>
    </row>
    <row r="233" spans="3:17" ht="99.75">
      <c r="C233" s="321" t="s">
        <v>3316</v>
      </c>
      <c r="D233" s="322"/>
      <c r="E233" s="783"/>
      <c r="F233" s="323" t="s">
        <v>366</v>
      </c>
      <c r="G233" s="319" t="str">
        <f>IFERROR(IF(E233="","",IF(F233="Direct-from-manufacturer",(E233*H233/1000*'Reporting Year &amp; Inflation Adj.'!$F$9),(E233*I233/1000*'Reporting Year &amp; Inflation Adj.'!$F$9))),"")</f>
        <v/>
      </c>
      <c r="H233" s="804">
        <v>0.19594278973000004</v>
      </c>
      <c r="I233" s="805">
        <v>0.19594278973000004</v>
      </c>
      <c r="J233" s="806">
        <v>0</v>
      </c>
      <c r="K233" s="68" t="s">
        <v>3719</v>
      </c>
      <c r="L233" s="68" t="s">
        <v>3541</v>
      </c>
      <c r="M233" s="69" t="s">
        <v>397</v>
      </c>
      <c r="N233" s="69" t="s">
        <v>398</v>
      </c>
      <c r="O233" s="70">
        <v>0.21726535000000002</v>
      </c>
      <c r="P233" s="70">
        <v>0</v>
      </c>
      <c r="Q233" s="70">
        <v>0.21726535000000002</v>
      </c>
    </row>
    <row r="234" spans="3:17" ht="85.5">
      <c r="C234" s="321" t="s">
        <v>936</v>
      </c>
      <c r="D234" s="322"/>
      <c r="E234" s="783"/>
      <c r="F234" s="323" t="s">
        <v>366</v>
      </c>
      <c r="G234" s="319" t="str">
        <f>IFERROR(IF(E234="","",IF(F234="Direct-from-manufacturer",(E234*H234/1000*'Reporting Year &amp; Inflation Adj.'!$F$9),(E234*I234/1000*'Reporting Year &amp; Inflation Adj.'!$F$9))),"")</f>
        <v/>
      </c>
      <c r="H234" s="804">
        <v>5.6155505914999987E-2</v>
      </c>
      <c r="I234" s="805">
        <v>5.6155505914999987E-2</v>
      </c>
      <c r="J234" s="806">
        <v>0</v>
      </c>
      <c r="K234" s="68" t="s">
        <v>937</v>
      </c>
      <c r="L234" s="68" t="s">
        <v>3542</v>
      </c>
      <c r="M234" s="69" t="s">
        <v>904</v>
      </c>
      <c r="N234" s="69" t="s">
        <v>938</v>
      </c>
      <c r="O234" s="70">
        <v>6.514785712E-2</v>
      </c>
      <c r="P234" s="70">
        <v>0</v>
      </c>
      <c r="Q234" s="70">
        <v>6.514785712E-2</v>
      </c>
    </row>
    <row r="235" spans="3:17" ht="57">
      <c r="C235" s="321" t="s">
        <v>902</v>
      </c>
      <c r="D235" s="322"/>
      <c r="E235" s="783"/>
      <c r="F235" s="325"/>
      <c r="G235" s="319" t="str">
        <f>IFERROR(IF(E235="","",IF(F235="Direct-from-manufacturer",(E235*H235/1000*'Reporting Year &amp; Inflation Adj.'!$F$9),(E235*I235/1000*'Reporting Year &amp; Inflation Adj.'!$F$9))),"")</f>
        <v/>
      </c>
      <c r="H235" s="804">
        <v>3.9811975144999998E-2</v>
      </c>
      <c r="I235" s="805">
        <v>7.7439795200000022E-2</v>
      </c>
      <c r="J235" s="806">
        <v>0.48592602624806525</v>
      </c>
      <c r="K235" s="68">
        <v>511110</v>
      </c>
      <c r="L235" s="68" t="s">
        <v>3543</v>
      </c>
      <c r="M235" s="69" t="s">
        <v>904</v>
      </c>
      <c r="N235" s="69" t="s">
        <v>905</v>
      </c>
      <c r="O235" s="70">
        <v>4.3100165610999996E-2</v>
      </c>
      <c r="P235" s="70">
        <v>3.9805882729999999E-2</v>
      </c>
      <c r="Q235" s="70">
        <v>8.2877987159999986E-2</v>
      </c>
    </row>
    <row r="236" spans="3:17" ht="71.25">
      <c r="C236" s="321" t="s">
        <v>945</v>
      </c>
      <c r="D236" s="322"/>
      <c r="E236" s="783"/>
      <c r="F236" s="323" t="s">
        <v>366</v>
      </c>
      <c r="G236" s="319" t="str">
        <f>IFERROR(IF(E236="","",IF(F236="Direct-from-manufacturer",(E236*H236/1000*'Reporting Year &amp; Inflation Adj.'!$F$9),(E236*I236/1000*'Reporting Year &amp; Inflation Adj.'!$F$9))),"")</f>
        <v/>
      </c>
      <c r="H236" s="804">
        <v>6.4366050219999985E-2</v>
      </c>
      <c r="I236" s="805">
        <v>6.4366050219999985E-2</v>
      </c>
      <c r="J236" s="806">
        <v>0</v>
      </c>
      <c r="K236" s="68" t="s">
        <v>946</v>
      </c>
      <c r="L236" s="68" t="s">
        <v>3544</v>
      </c>
      <c r="M236" s="69" t="s">
        <v>943</v>
      </c>
      <c r="N236" s="69" t="s">
        <v>947</v>
      </c>
      <c r="O236" s="70">
        <v>7.2853406578999996E-2</v>
      </c>
      <c r="P236" s="70">
        <v>0</v>
      </c>
      <c r="Q236" s="70">
        <v>7.2853406578999996E-2</v>
      </c>
    </row>
    <row r="237" spans="3:17" ht="42.75">
      <c r="C237" s="321" t="s">
        <v>637</v>
      </c>
      <c r="D237" s="322"/>
      <c r="E237" s="783"/>
      <c r="F237" s="325"/>
      <c r="G237" s="319" t="str">
        <f>IFERROR(IF(E237="","",IF(F237="Direct-from-manufacturer",(E237*H237/1000*'Reporting Year &amp; Inflation Adj.'!$F$9),(E237*I237/1000*'Reporting Year &amp; Inflation Adj.'!$F$9))),"")</f>
        <v/>
      </c>
      <c r="H237" s="804">
        <v>0.43761331102500001</v>
      </c>
      <c r="I237" s="805">
        <v>0.46211206097000002</v>
      </c>
      <c r="J237" s="806">
        <v>5.325692524306936E-2</v>
      </c>
      <c r="K237" s="68">
        <v>331520</v>
      </c>
      <c r="L237" s="68" t="s">
        <v>3545</v>
      </c>
      <c r="M237" s="69" t="s">
        <v>440</v>
      </c>
      <c r="N237" s="69" t="s">
        <v>636</v>
      </c>
      <c r="O237" s="70">
        <v>0.44063181472999996</v>
      </c>
      <c r="P237" s="70">
        <v>2.482392315E-2</v>
      </c>
      <c r="Q237" s="70">
        <v>0.46558988129999995</v>
      </c>
    </row>
    <row r="238" spans="3:17" ht="42.75">
      <c r="C238" s="321" t="s">
        <v>900</v>
      </c>
      <c r="D238" s="322"/>
      <c r="E238" s="783"/>
      <c r="F238" s="323" t="s">
        <v>366</v>
      </c>
      <c r="G238" s="319" t="str">
        <f>IFERROR(IF(E238="","",IF(F238="Direct-from-manufacturer",(E238*H238/1000*'Reporting Year &amp; Inflation Adj.'!$F$9),(E238*I238/1000*'Reporting Year &amp; Inflation Adj.'!$F$9))),"")</f>
        <v/>
      </c>
      <c r="H238" s="804">
        <v>8.8242021314999988E-2</v>
      </c>
      <c r="I238" s="805">
        <v>8.8242021314999988E-2</v>
      </c>
      <c r="J238" s="806">
        <v>0</v>
      </c>
      <c r="K238" s="68">
        <v>454000</v>
      </c>
      <c r="L238" s="68" t="s">
        <v>3546</v>
      </c>
      <c r="M238" s="69" t="s">
        <v>882</v>
      </c>
      <c r="N238" s="69" t="s">
        <v>901</v>
      </c>
      <c r="O238" s="70">
        <v>9.5117408440000009E-2</v>
      </c>
      <c r="P238" s="70">
        <v>0</v>
      </c>
      <c r="Q238" s="70">
        <v>9.5117408440000009E-2</v>
      </c>
    </row>
    <row r="239" spans="3:17" ht="199.5">
      <c r="C239" s="321" t="s">
        <v>1057</v>
      </c>
      <c r="D239" s="322"/>
      <c r="E239" s="783"/>
      <c r="F239" s="323" t="s">
        <v>366</v>
      </c>
      <c r="G239" s="319" t="str">
        <f>IFERROR(IF(E239="","",IF(F239="Direct-from-manufacturer",(E239*H239/1000*'Reporting Year &amp; Inflation Adj.'!$F$9),(E239*I239/1000*'Reporting Year &amp; Inflation Adj.'!$F$9))),"")</f>
        <v/>
      </c>
      <c r="H239" s="804">
        <v>0.13965558279000001</v>
      </c>
      <c r="I239" s="805">
        <v>0.13965558279000001</v>
      </c>
      <c r="J239" s="806">
        <v>0</v>
      </c>
      <c r="K239" s="68" t="s">
        <v>1058</v>
      </c>
      <c r="L239" s="68" t="s">
        <v>3387</v>
      </c>
      <c r="M239" s="69" t="s">
        <v>1038</v>
      </c>
      <c r="N239" s="69" t="s">
        <v>1059</v>
      </c>
      <c r="O239" s="70">
        <v>0.16124559516999998</v>
      </c>
      <c r="P239" s="70">
        <v>0</v>
      </c>
      <c r="Q239" s="70">
        <v>0.16124559516999998</v>
      </c>
    </row>
    <row r="240" spans="3:17" ht="57">
      <c r="C240" s="321" t="s">
        <v>1004</v>
      </c>
      <c r="D240" s="322"/>
      <c r="E240" s="783"/>
      <c r="F240" s="323" t="s">
        <v>366</v>
      </c>
      <c r="G240" s="319" t="str">
        <f>IFERROR(IF(E240="","",IF(F240="Direct-from-manufacturer",(E240*H240/1000*'Reporting Year &amp; Inflation Adj.'!$F$9),(E240*I240/1000*'Reporting Year &amp; Inflation Adj.'!$F$9))),"")</f>
        <v/>
      </c>
      <c r="H240" s="804">
        <v>9.054266469000001E-2</v>
      </c>
      <c r="I240" s="805">
        <v>9.054266469000001E-2</v>
      </c>
      <c r="J240" s="806">
        <v>0</v>
      </c>
      <c r="K240" s="68">
        <v>561100</v>
      </c>
      <c r="L240" s="68" t="s">
        <v>3547</v>
      </c>
      <c r="M240" s="69" t="s">
        <v>1006</v>
      </c>
      <c r="N240" s="69" t="s">
        <v>1007</v>
      </c>
      <c r="O240" s="70">
        <v>0.1011722627</v>
      </c>
      <c r="P240" s="70">
        <v>0</v>
      </c>
      <c r="Q240" s="70">
        <v>0.1011722627</v>
      </c>
    </row>
    <row r="241" spans="3:17" ht="45">
      <c r="C241" s="321" t="s">
        <v>828</v>
      </c>
      <c r="D241" s="322"/>
      <c r="E241" s="783"/>
      <c r="F241" s="325"/>
      <c r="G241" s="319" t="str">
        <f>IFERROR(IF(E241="","",IF(F241="Direct-from-manufacturer",(E241*H241/1000*'Reporting Year &amp; Inflation Adj.'!$F$9),(E241*I241/1000*'Reporting Year &amp; Inflation Adj.'!$F$9))),"")</f>
        <v/>
      </c>
      <c r="H241" s="804">
        <v>0.15714181503999999</v>
      </c>
      <c r="I241" s="805">
        <v>0.20883908921999997</v>
      </c>
      <c r="J241" s="806">
        <v>0.24834302655555315</v>
      </c>
      <c r="K241" s="68" t="s">
        <v>829</v>
      </c>
      <c r="L241" s="68" t="s">
        <v>3548</v>
      </c>
      <c r="M241" s="69" t="s">
        <v>440</v>
      </c>
      <c r="N241" s="69" t="s">
        <v>830</v>
      </c>
      <c r="O241" s="70">
        <v>0.18425269961000001</v>
      </c>
      <c r="P241" s="70">
        <v>5.6988688410000009E-2</v>
      </c>
      <c r="Q241" s="70">
        <v>0.24150189271999997</v>
      </c>
    </row>
    <row r="242" spans="3:17" ht="42.75">
      <c r="C242" s="321" t="s">
        <v>848</v>
      </c>
      <c r="D242" s="322"/>
      <c r="E242" s="783"/>
      <c r="F242" s="325"/>
      <c r="G242" s="319" t="str">
        <f>IFERROR(IF(E242="","",IF(F242="Direct-from-manufacturer",(E242*H242/1000*'Reporting Year &amp; Inflation Adj.'!$F$9),(E242*I242/1000*'Reporting Year &amp; Inflation Adj.'!$F$9))),"")</f>
        <v/>
      </c>
      <c r="H242" s="804">
        <v>0.17970703505999999</v>
      </c>
      <c r="I242" s="805">
        <v>0.23638118847999998</v>
      </c>
      <c r="J242" s="806">
        <v>0.24264436609283274</v>
      </c>
      <c r="K242" s="68">
        <v>339940</v>
      </c>
      <c r="L242" s="68" t="s">
        <v>3549</v>
      </c>
      <c r="M242" s="69" t="s">
        <v>440</v>
      </c>
      <c r="N242" s="69" t="s">
        <v>845</v>
      </c>
      <c r="O242" s="70">
        <v>0.20534862478999999</v>
      </c>
      <c r="P242" s="70">
        <v>6.1414922740000003E-2</v>
      </c>
      <c r="Q242" s="70">
        <v>0.26623699469000001</v>
      </c>
    </row>
    <row r="243" spans="3:17" ht="57">
      <c r="C243" s="321" t="s">
        <v>841</v>
      </c>
      <c r="D243" s="322"/>
      <c r="E243" s="783"/>
      <c r="F243" s="325"/>
      <c r="G243" s="319" t="str">
        <f>IFERROR(IF(E243="","",IF(F243="Direct-from-manufacturer",(E243*H243/1000*'Reporting Year &amp; Inflation Adj.'!$F$9),(E243*I243/1000*'Reporting Year &amp; Inflation Adj.'!$F$9))),"")</f>
        <v/>
      </c>
      <c r="H243" s="804">
        <v>7.0368737760000022E-2</v>
      </c>
      <c r="I243" s="805">
        <v>0.114795582605</v>
      </c>
      <c r="J243" s="806">
        <v>0.38961114539482233</v>
      </c>
      <c r="K243" s="68">
        <v>339115</v>
      </c>
      <c r="L243" s="68" t="s">
        <v>3550</v>
      </c>
      <c r="M243" s="69" t="s">
        <v>440</v>
      </c>
      <c r="N243" s="69" t="s">
        <v>838</v>
      </c>
      <c r="O243" s="70">
        <v>8.6701114270000018E-2</v>
      </c>
      <c r="P243" s="70">
        <v>5.2742876000000001E-2</v>
      </c>
      <c r="Q243" s="70">
        <v>0.13983641998999993</v>
      </c>
    </row>
    <row r="244" spans="3:17" ht="71.25">
      <c r="C244" s="321" t="s">
        <v>690</v>
      </c>
      <c r="D244" s="322"/>
      <c r="E244" s="783"/>
      <c r="F244" s="325"/>
      <c r="G244" s="319" t="str">
        <f>IFERROR(IF(E244="","",IF(F244="Direct-from-manufacturer",(E244*H244/1000*'Reporting Year &amp; Inflation Adj.'!$F$9),(E244*I244/1000*'Reporting Year &amp; Inflation Adj.'!$F$9))),"")</f>
        <v/>
      </c>
      <c r="H244" s="804">
        <v>0.13614398077500001</v>
      </c>
      <c r="I244" s="805">
        <v>0.15759475889999999</v>
      </c>
      <c r="J244" s="806">
        <v>0.13476310308946449</v>
      </c>
      <c r="K244" s="68">
        <v>333314</v>
      </c>
      <c r="L244" s="68" t="s">
        <v>3551</v>
      </c>
      <c r="M244" s="69" t="s">
        <v>440</v>
      </c>
      <c r="N244" s="69" t="s">
        <v>692</v>
      </c>
      <c r="O244" s="70">
        <v>0.15302631149999998</v>
      </c>
      <c r="P244" s="70">
        <v>2.3329212679999999E-2</v>
      </c>
      <c r="Q244" s="70">
        <v>0.17602944428999998</v>
      </c>
    </row>
    <row r="245" spans="3:17" ht="71.25">
      <c r="C245" s="321" t="s">
        <v>804</v>
      </c>
      <c r="D245" s="322"/>
      <c r="E245" s="783"/>
      <c r="F245" s="325"/>
      <c r="G245" s="319" t="str">
        <f>IFERROR(IF(E245="","",IF(F245="Direct-from-manufacturer",(E245*H245/1000*'Reporting Year &amp; Inflation Adj.'!$F$9),(E245*I245/1000*'Reporting Year &amp; Inflation Adj.'!$F$9))),"")</f>
        <v/>
      </c>
      <c r="H245" s="804">
        <v>0.14570594591500002</v>
      </c>
      <c r="I245" s="805">
        <v>0.151602669685</v>
      </c>
      <c r="J245" s="806">
        <v>4.1405671091035441E-2</v>
      </c>
      <c r="K245" s="68">
        <v>336413</v>
      </c>
      <c r="L245" s="68" t="s">
        <v>3552</v>
      </c>
      <c r="M245" s="69" t="s">
        <v>440</v>
      </c>
      <c r="N245" s="69" t="s">
        <v>802</v>
      </c>
      <c r="O245" s="70">
        <v>0.16476222017999997</v>
      </c>
      <c r="P245" s="70">
        <v>6.5820633429999999E-3</v>
      </c>
      <c r="Q245" s="70">
        <v>0.17078959882</v>
      </c>
    </row>
    <row r="246" spans="3:17" ht="28.5">
      <c r="C246" s="321" t="s">
        <v>442</v>
      </c>
      <c r="D246" s="322"/>
      <c r="E246" s="783"/>
      <c r="F246" s="325"/>
      <c r="G246" s="319" t="str">
        <f>IFERROR(IF(E246="","",IF(F246="Direct-from-manufacturer",(E246*H246/1000*'Reporting Year &amp; Inflation Adj.'!$F$9),(E246*I246/1000*'Reporting Year &amp; Inflation Adj.'!$F$9))),"")</f>
        <v/>
      </c>
      <c r="H246" s="804">
        <v>0.47672803205000003</v>
      </c>
      <c r="I246" s="805">
        <v>0.51421365533999996</v>
      </c>
      <c r="J246" s="806">
        <v>7.2203391468573228E-2</v>
      </c>
      <c r="K246" s="68">
        <v>311119</v>
      </c>
      <c r="L246" s="68" t="s">
        <v>3553</v>
      </c>
      <c r="M246" s="69" t="s">
        <v>440</v>
      </c>
      <c r="N246" s="69" t="s">
        <v>441</v>
      </c>
      <c r="O246" s="70">
        <v>0.43753139026000004</v>
      </c>
      <c r="P246" s="70">
        <v>3.1722873290000002E-2</v>
      </c>
      <c r="Q246" s="70">
        <v>0.46927851737000004</v>
      </c>
    </row>
    <row r="247" spans="3:17" ht="28.5">
      <c r="C247" s="321" t="s">
        <v>553</v>
      </c>
      <c r="D247" s="322"/>
      <c r="E247" s="783"/>
      <c r="F247" s="325"/>
      <c r="G247" s="319" t="str">
        <f>IFERROR(IF(E247="","",IF(F247="Direct-from-manufacturer",(E247*H247/1000*'Reporting Year &amp; Inflation Adj.'!$F$9),(E247*I247/1000*'Reporting Year &amp; Inflation Adj.'!$F$9))),"")</f>
        <v/>
      </c>
      <c r="H247" s="804">
        <v>0.94485798065999993</v>
      </c>
      <c r="I247" s="805">
        <v>0.98596857163000007</v>
      </c>
      <c r="J247" s="806">
        <v>4.1233281972456529E-2</v>
      </c>
      <c r="K247" s="68">
        <v>325180</v>
      </c>
      <c r="L247" s="68" t="s">
        <v>3554</v>
      </c>
      <c r="M247" s="69" t="s">
        <v>440</v>
      </c>
      <c r="N247" s="69" t="s">
        <v>550</v>
      </c>
      <c r="O247" s="70">
        <v>0.97585376801000001</v>
      </c>
      <c r="P247" s="70">
        <v>3.6625184010999998E-2</v>
      </c>
      <c r="Q247" s="70">
        <v>1.0130743526499999</v>
      </c>
    </row>
    <row r="248" spans="3:17" ht="28.5">
      <c r="C248" s="321" t="s">
        <v>554</v>
      </c>
      <c r="D248" s="322"/>
      <c r="E248" s="783"/>
      <c r="F248" s="325"/>
      <c r="G248" s="319" t="str">
        <f>IFERROR(IF(E248="","",IF(F248="Direct-from-manufacturer",(E248*H248/1000*'Reporting Year &amp; Inflation Adj.'!$F$9),(E248*I248/1000*'Reporting Year &amp; Inflation Adj.'!$F$9))),"")</f>
        <v/>
      </c>
      <c r="H248" s="804">
        <v>1.26705593108</v>
      </c>
      <c r="I248" s="805">
        <v>1.29012241396</v>
      </c>
      <c r="J248" s="806">
        <v>1.7705535139790403E-2</v>
      </c>
      <c r="K248" s="68">
        <v>325190</v>
      </c>
      <c r="L248" s="68" t="s">
        <v>3555</v>
      </c>
      <c r="M248" s="69" t="s">
        <v>440</v>
      </c>
      <c r="N248" s="69" t="s">
        <v>550</v>
      </c>
      <c r="O248" s="70">
        <v>1.1750465754999997</v>
      </c>
      <c r="P248" s="70">
        <v>1.8629732005999999E-2</v>
      </c>
      <c r="Q248" s="70">
        <v>1.1939033807799999</v>
      </c>
    </row>
    <row r="249" spans="3:17" ht="57">
      <c r="C249" s="321" t="s">
        <v>694</v>
      </c>
      <c r="D249" s="322"/>
      <c r="E249" s="783"/>
      <c r="F249" s="325"/>
      <c r="G249" s="319" t="str">
        <f>IFERROR(IF(E249="","",IF(F249="Direct-from-manufacturer",(E249*H249/1000*'Reporting Year &amp; Inflation Adj.'!$F$9),(E249*I249/1000*'Reporting Year &amp; Inflation Adj.'!$F$9))),"")</f>
        <v/>
      </c>
      <c r="H249" s="804">
        <v>0.15517251534999998</v>
      </c>
      <c r="I249" s="805">
        <v>0.18622971804999999</v>
      </c>
      <c r="J249" s="806">
        <v>0.16568836852728078</v>
      </c>
      <c r="K249" s="68">
        <v>333318</v>
      </c>
      <c r="L249" s="68" t="s">
        <v>3556</v>
      </c>
      <c r="M249" s="69" t="s">
        <v>440</v>
      </c>
      <c r="N249" s="69" t="s">
        <v>692</v>
      </c>
      <c r="O249" s="70">
        <v>0.17250188114000001</v>
      </c>
      <c r="P249" s="70">
        <v>3.4206105340000001E-2</v>
      </c>
      <c r="Q249" s="70">
        <v>0.20637127433999997</v>
      </c>
    </row>
    <row r="250" spans="3:17" ht="99.75">
      <c r="C250" s="321" t="s">
        <v>996</v>
      </c>
      <c r="D250" s="322"/>
      <c r="E250" s="783"/>
      <c r="F250" s="323" t="s">
        <v>366</v>
      </c>
      <c r="G250" s="319" t="str">
        <f>IFERROR(IF(E250="","",IF(F250="Direct-from-manufacturer",(E250*H250/1000*'Reporting Year &amp; Inflation Adj.'!$F$9),(E250*I250/1000*'Reporting Year &amp; Inflation Adj.'!$F$9))),"")</f>
        <v/>
      </c>
      <c r="H250" s="804">
        <v>7.834393756499998E-2</v>
      </c>
      <c r="I250" s="805">
        <v>7.834393756499998E-2</v>
      </c>
      <c r="J250" s="806">
        <v>0</v>
      </c>
      <c r="K250" s="68" t="s">
        <v>3720</v>
      </c>
      <c r="L250" s="68" t="s">
        <v>3557</v>
      </c>
      <c r="M250" s="69" t="s">
        <v>981</v>
      </c>
      <c r="N250" s="69" t="s">
        <v>994</v>
      </c>
      <c r="O250" s="70">
        <v>8.1385761109999982E-2</v>
      </c>
      <c r="P250" s="70">
        <v>0</v>
      </c>
      <c r="Q250" s="70">
        <v>8.1385761109999982E-2</v>
      </c>
    </row>
    <row r="251" spans="3:17" ht="42.75">
      <c r="C251" s="321" t="s">
        <v>607</v>
      </c>
      <c r="D251" s="322"/>
      <c r="E251" s="783"/>
      <c r="F251" s="325"/>
      <c r="G251" s="319" t="str">
        <f>IFERROR(IF(E251="","",IF(F251="Direct-from-manufacturer",(E251*H251/1000*'Reporting Year &amp; Inflation Adj.'!$F$9),(E251*I251/1000*'Reporting Year &amp; Inflation Adj.'!$F$9))),"")</f>
        <v/>
      </c>
      <c r="H251" s="804">
        <v>0.20925042366500002</v>
      </c>
      <c r="I251" s="805">
        <v>0.25486537509000001</v>
      </c>
      <c r="J251" s="806">
        <v>0.17626111294692931</v>
      </c>
      <c r="K251" s="68">
        <v>327390</v>
      </c>
      <c r="L251" s="68" t="s">
        <v>3558</v>
      </c>
      <c r="M251" s="69" t="s">
        <v>440</v>
      </c>
      <c r="N251" s="69" t="s">
        <v>604</v>
      </c>
      <c r="O251" s="70">
        <v>0.26852516270000004</v>
      </c>
      <c r="P251" s="70">
        <v>5.0640952850000004E-2</v>
      </c>
      <c r="Q251" s="70">
        <v>0.31877463904999997</v>
      </c>
    </row>
    <row r="252" spans="3:17" ht="399">
      <c r="C252" s="321" t="s">
        <v>855</v>
      </c>
      <c r="D252" s="322"/>
      <c r="E252" s="783"/>
      <c r="F252" s="323" t="s">
        <v>366</v>
      </c>
      <c r="G252" s="319" t="str">
        <f>IFERROR(IF(E252="","",IF(F252="Direct-from-manufacturer",(E252*H252/1000*'Reporting Year &amp; Inflation Adj.'!$F$9),(E252*I252/1000*'Reporting Year &amp; Inflation Adj.'!$F$9))),"")</f>
        <v/>
      </c>
      <c r="H252" s="804">
        <v>0.10692984018000001</v>
      </c>
      <c r="I252" s="805">
        <v>0.10692984018000001</v>
      </c>
      <c r="J252" s="806">
        <v>0</v>
      </c>
      <c r="K252" s="68" t="s">
        <v>856</v>
      </c>
      <c r="L252" s="68" t="s">
        <v>3559</v>
      </c>
      <c r="M252" s="69" t="s">
        <v>853</v>
      </c>
      <c r="N252" s="69">
        <v>0</v>
      </c>
      <c r="O252" s="70">
        <v>0.10890782587000002</v>
      </c>
      <c r="P252" s="70">
        <v>0</v>
      </c>
      <c r="Q252" s="70">
        <v>0.10890782587000002</v>
      </c>
    </row>
    <row r="253" spans="3:17" ht="199.5">
      <c r="C253" s="321" t="s">
        <v>1034</v>
      </c>
      <c r="D253" s="322"/>
      <c r="E253" s="783"/>
      <c r="F253" s="323" t="s">
        <v>366</v>
      </c>
      <c r="G253" s="319" t="str">
        <f>IFERROR(IF(E253="","",IF(F253="Direct-from-manufacturer",(E253*H253/1000*'Reporting Year &amp; Inflation Adj.'!$F$9),(E253*I253/1000*'Reporting Year &amp; Inflation Adj.'!$F$9))),"")</f>
        <v/>
      </c>
      <c r="H253" s="804">
        <v>9.7193062844999983E-2</v>
      </c>
      <c r="I253" s="805">
        <v>9.7193062844999983E-2</v>
      </c>
      <c r="J253" s="806">
        <v>0</v>
      </c>
      <c r="K253" s="68" t="s">
        <v>1035</v>
      </c>
      <c r="L253" s="68" t="s">
        <v>3381</v>
      </c>
      <c r="M253" s="69" t="s">
        <v>1030</v>
      </c>
      <c r="N253" s="69">
        <v>0</v>
      </c>
      <c r="O253" s="70">
        <v>0.10926201691000002</v>
      </c>
      <c r="P253" s="70">
        <v>0</v>
      </c>
      <c r="Q253" s="70">
        <v>0.10926201691000002</v>
      </c>
    </row>
    <row r="254" spans="3:17" ht="71.25">
      <c r="C254" s="321" t="s">
        <v>712</v>
      </c>
      <c r="D254" s="322"/>
      <c r="E254" s="783"/>
      <c r="F254" s="325"/>
      <c r="G254" s="319" t="str">
        <f>IFERROR(IF(E254="","",IF(F254="Direct-from-manufacturer",(E254*H254/1000*'Reporting Year &amp; Inflation Adj.'!$F$9),(E254*I254/1000*'Reporting Year &amp; Inflation Adj.'!$F$9))),"")</f>
        <v/>
      </c>
      <c r="H254" s="804">
        <v>0.23310138384000001</v>
      </c>
      <c r="I254" s="805">
        <v>0.25553540661000007</v>
      </c>
      <c r="J254" s="806">
        <v>8.6533319133140663E-2</v>
      </c>
      <c r="K254" s="68">
        <v>333618</v>
      </c>
      <c r="L254" s="68" t="s">
        <v>3560</v>
      </c>
      <c r="M254" s="69" t="s">
        <v>440</v>
      </c>
      <c r="N254" s="69" t="s">
        <v>709</v>
      </c>
      <c r="O254" s="70">
        <v>0.27439556084000011</v>
      </c>
      <c r="P254" s="70">
        <v>2.4732114409999999E-2</v>
      </c>
      <c r="Q254" s="70">
        <v>0.29855072457000004</v>
      </c>
    </row>
    <row r="255" spans="3:17" ht="99.75">
      <c r="C255" s="321" t="s">
        <v>778</v>
      </c>
      <c r="D255" s="322"/>
      <c r="E255" s="783"/>
      <c r="F255" s="325"/>
      <c r="G255" s="319" t="str">
        <f>IFERROR(IF(E255="","",IF(F255="Direct-from-manufacturer",(E255*H255/1000*'Reporting Year &amp; Inflation Adj.'!$F$9),(E255*I255/1000*'Reporting Year &amp; Inflation Adj.'!$F$9))),"")</f>
        <v/>
      </c>
      <c r="H255" s="804">
        <v>0.10832362529999999</v>
      </c>
      <c r="I255" s="805">
        <v>0.12398090406499998</v>
      </c>
      <c r="J255" s="806">
        <v>0.12462744594844394</v>
      </c>
      <c r="K255" s="68">
        <v>335999</v>
      </c>
      <c r="L255" s="68" t="s">
        <v>3561</v>
      </c>
      <c r="M255" s="69" t="s">
        <v>440</v>
      </c>
      <c r="N255" s="69" t="s">
        <v>773</v>
      </c>
      <c r="O255" s="70">
        <v>0.11276621913000001</v>
      </c>
      <c r="P255" s="70">
        <v>1.6443919543999999E-2</v>
      </c>
      <c r="Q255" s="70">
        <v>0.12880740805000004</v>
      </c>
    </row>
    <row r="256" spans="3:17" ht="114">
      <c r="C256" s="321" t="s">
        <v>866</v>
      </c>
      <c r="D256" s="322"/>
      <c r="E256" s="783"/>
      <c r="F256" s="323" t="s">
        <v>366</v>
      </c>
      <c r="G256" s="319" t="str">
        <f>IFERROR(IF(E256="","",IF(F256="Direct-from-manufacturer",(E256*H256/1000*'Reporting Year &amp; Inflation Adj.'!$F$9),(E256*I256/1000*'Reporting Year &amp; Inflation Adj.'!$F$9))),"")</f>
        <v/>
      </c>
      <c r="H256" s="804">
        <v>0.12662860379999999</v>
      </c>
      <c r="I256" s="805">
        <v>0.12662860379999999</v>
      </c>
      <c r="J256" s="806">
        <v>0</v>
      </c>
      <c r="K256" s="68" t="s">
        <v>867</v>
      </c>
      <c r="L256" s="68" t="s">
        <v>3562</v>
      </c>
      <c r="M256" s="69" t="s">
        <v>853</v>
      </c>
      <c r="N256" s="69">
        <v>0</v>
      </c>
      <c r="O256" s="70">
        <v>0.14563550581000004</v>
      </c>
      <c r="P256" s="70">
        <v>0</v>
      </c>
      <c r="Q256" s="70">
        <v>0.14563550581000004</v>
      </c>
    </row>
    <row r="257" spans="3:17" ht="71.25">
      <c r="C257" s="321" t="s">
        <v>617</v>
      </c>
      <c r="D257" s="322"/>
      <c r="E257" s="783"/>
      <c r="F257" s="325"/>
      <c r="G257" s="319" t="str">
        <f>IFERROR(IF(E257="","",IF(F257="Direct-from-manufacturer",(E257*H257/1000*'Reporting Year &amp; Inflation Adj.'!$F$9),(E257*I257/1000*'Reporting Year &amp; Inflation Adj.'!$F$9))),"")</f>
        <v/>
      </c>
      <c r="H257" s="804">
        <v>0.56461848641500001</v>
      </c>
      <c r="I257" s="805">
        <v>0.62635244583999983</v>
      </c>
      <c r="J257" s="806">
        <v>9.8869408200282075E-2</v>
      </c>
      <c r="K257" s="68">
        <v>327999</v>
      </c>
      <c r="L257" s="68" t="s">
        <v>3563</v>
      </c>
      <c r="M257" s="69" t="s">
        <v>440</v>
      </c>
      <c r="N257" s="69" t="s">
        <v>613</v>
      </c>
      <c r="O257" s="70">
        <v>0.72153242747000002</v>
      </c>
      <c r="P257" s="70">
        <v>6.8358420279999998E-2</v>
      </c>
      <c r="Q257" s="70">
        <v>0.78933438853000004</v>
      </c>
    </row>
    <row r="258" spans="3:17" ht="28.5">
      <c r="C258" s="321" t="s">
        <v>408</v>
      </c>
      <c r="D258" s="322"/>
      <c r="E258" s="783"/>
      <c r="F258" s="323" t="s">
        <v>366</v>
      </c>
      <c r="G258" s="319" t="str">
        <f>IFERROR(IF(E258="","",IF(F258="Direct-from-manufacturer",(E258*H258/1000*'Reporting Year &amp; Inflation Adj.'!$F$9),(E258*I258/1000*'Reporting Year &amp; Inflation Adj.'!$F$9))),"")</f>
        <v/>
      </c>
      <c r="H258" s="804">
        <v>0.17371614970000002</v>
      </c>
      <c r="I258" s="805">
        <v>0.17371614970000002</v>
      </c>
      <c r="J258" s="806">
        <v>0</v>
      </c>
      <c r="K258" s="68" t="s">
        <v>409</v>
      </c>
      <c r="L258" s="68" t="s">
        <v>3564</v>
      </c>
      <c r="M258" s="69" t="s">
        <v>397</v>
      </c>
      <c r="N258" s="69" t="s">
        <v>403</v>
      </c>
      <c r="O258" s="70">
        <v>0.20379498792</v>
      </c>
      <c r="P258" s="70">
        <v>0</v>
      </c>
      <c r="Q258" s="70">
        <v>0.20379498792</v>
      </c>
    </row>
    <row r="259" spans="3:17" ht="42.75">
      <c r="C259" s="321" t="s">
        <v>547</v>
      </c>
      <c r="D259" s="322"/>
      <c r="E259" s="783"/>
      <c r="F259" s="325"/>
      <c r="G259" s="319" t="str">
        <f>IFERROR(IF(E259="","",IF(F259="Direct-from-manufacturer",(E259*H259/1000*'Reporting Year &amp; Inflation Adj.'!$F$9),(E259*I259/1000*'Reporting Year &amp; Inflation Adj.'!$F$9))),"")</f>
        <v/>
      </c>
      <c r="H259" s="804">
        <v>0.49215754710999998</v>
      </c>
      <c r="I259" s="805">
        <v>0.54388252924000002</v>
      </c>
      <c r="J259" s="806">
        <v>9.4325257104116211E-2</v>
      </c>
      <c r="K259" s="68">
        <v>324190</v>
      </c>
      <c r="L259" s="68" t="s">
        <v>3565</v>
      </c>
      <c r="M259" s="69" t="s">
        <v>440</v>
      </c>
      <c r="N259" s="69" t="s">
        <v>544</v>
      </c>
      <c r="O259" s="70">
        <v>0.36239404805000003</v>
      </c>
      <c r="P259" s="70">
        <v>3.2777612609000001E-2</v>
      </c>
      <c r="Q259" s="70">
        <v>0.39495476005000008</v>
      </c>
    </row>
    <row r="260" spans="3:17" ht="42.75">
      <c r="C260" s="321" t="s">
        <v>590</v>
      </c>
      <c r="D260" s="322"/>
      <c r="E260" s="783"/>
      <c r="F260" s="325"/>
      <c r="G260" s="319" t="str">
        <f>IFERROR(IF(E260="","",IF(F260="Direct-from-manufacturer",(E260*H260/1000*'Reporting Year &amp; Inflation Adj.'!$F$9),(E260*I260/1000*'Reporting Year &amp; Inflation Adj.'!$F$9))),"")</f>
        <v/>
      </c>
      <c r="H260" s="804">
        <v>0.30548257347999996</v>
      </c>
      <c r="I260" s="805">
        <v>0.33153348666999999</v>
      </c>
      <c r="J260" s="806">
        <v>7.701098800439915E-2</v>
      </c>
      <c r="K260" s="68">
        <v>326190</v>
      </c>
      <c r="L260" s="68" t="s">
        <v>3566</v>
      </c>
      <c r="M260" s="69" t="s">
        <v>440</v>
      </c>
      <c r="N260" s="69" t="s">
        <v>584</v>
      </c>
      <c r="O260" s="70">
        <v>0.34586472144999997</v>
      </c>
      <c r="P260" s="70">
        <v>2.7005266859999995E-2</v>
      </c>
      <c r="Q260" s="70">
        <v>0.37328631645999999</v>
      </c>
    </row>
    <row r="261" spans="3:17" ht="285">
      <c r="C261" s="321" t="s">
        <v>966</v>
      </c>
      <c r="D261" s="322"/>
      <c r="E261" s="783"/>
      <c r="F261" s="323" t="s">
        <v>366</v>
      </c>
      <c r="G261" s="319" t="str">
        <f>IFERROR(IF(E261="","",IF(F261="Direct-from-manufacturer",(E261*H261/1000*'Reporting Year &amp; Inflation Adj.'!$F$9),(E261*I261/1000*'Reporting Year &amp; Inflation Adj.'!$F$9))),"")</f>
        <v/>
      </c>
      <c r="H261" s="804">
        <v>0.22626968925000002</v>
      </c>
      <c r="I261" s="805">
        <v>0.22626968925000002</v>
      </c>
      <c r="J261" s="806">
        <v>0</v>
      </c>
      <c r="K261" s="68" t="s">
        <v>967</v>
      </c>
      <c r="L261" s="68" t="s">
        <v>3396</v>
      </c>
      <c r="M261" s="69" t="s">
        <v>965</v>
      </c>
      <c r="N261" s="69">
        <v>0</v>
      </c>
      <c r="O261" s="70">
        <v>0.24887561524000001</v>
      </c>
      <c r="P261" s="70">
        <v>0</v>
      </c>
      <c r="Q261" s="70">
        <v>0.24887561524000001</v>
      </c>
    </row>
    <row r="262" spans="3:17" ht="85.5">
      <c r="C262" s="321" t="s">
        <v>884</v>
      </c>
      <c r="D262" s="322"/>
      <c r="E262" s="783"/>
      <c r="F262" s="323" t="s">
        <v>366</v>
      </c>
      <c r="G262" s="319" t="str">
        <f>IFERROR(IF(E262="","",IF(F262="Direct-from-manufacturer",(E262*H262/1000*'Reporting Year &amp; Inflation Adj.'!$F$9),(E262*I262/1000*'Reporting Year &amp; Inflation Adj.'!$F$9))),"")</f>
        <v/>
      </c>
      <c r="H262" s="804">
        <v>0.10395477259500002</v>
      </c>
      <c r="I262" s="805">
        <v>0.10395477259500002</v>
      </c>
      <c r="J262" s="806">
        <v>0</v>
      </c>
      <c r="K262" s="68" t="s">
        <v>885</v>
      </c>
      <c r="L262" s="68" t="s">
        <v>3567</v>
      </c>
      <c r="M262" s="69" t="s">
        <v>882</v>
      </c>
      <c r="N262" s="69">
        <v>0</v>
      </c>
      <c r="O262" s="70">
        <v>0.11155100015999997</v>
      </c>
      <c r="P262" s="70">
        <v>0</v>
      </c>
      <c r="Q262" s="70">
        <v>0.11155100015999997</v>
      </c>
    </row>
    <row r="263" spans="3:17" ht="28.5">
      <c r="C263" s="321" t="s">
        <v>595</v>
      </c>
      <c r="D263" s="322"/>
      <c r="E263" s="783"/>
      <c r="F263" s="325"/>
      <c r="G263" s="319" t="str">
        <f>IFERROR(IF(E263="","",IF(F263="Direct-from-manufacturer",(E263*H263/1000*'Reporting Year &amp; Inflation Adj.'!$F$9),(E263*I263/1000*'Reporting Year &amp; Inflation Adj.'!$F$9))),"")</f>
        <v/>
      </c>
      <c r="H263" s="804">
        <v>0.26846910409000002</v>
      </c>
      <c r="I263" s="805">
        <v>0.29492997634000001</v>
      </c>
      <c r="J263" s="806">
        <v>9.2055630566697924E-2</v>
      </c>
      <c r="K263" s="68">
        <v>326290</v>
      </c>
      <c r="L263" s="68" t="s">
        <v>3568</v>
      </c>
      <c r="M263" s="69" t="s">
        <v>440</v>
      </c>
      <c r="N263" s="69" t="s">
        <v>593</v>
      </c>
      <c r="O263" s="70">
        <v>0.31456555627000005</v>
      </c>
      <c r="P263" s="70">
        <v>3.0503052339999996E-2</v>
      </c>
      <c r="Q263" s="70">
        <v>0.34476740673000006</v>
      </c>
    </row>
    <row r="264" spans="3:17" ht="85.5">
      <c r="C264" s="321" t="s">
        <v>633</v>
      </c>
      <c r="D264" s="322"/>
      <c r="E264" s="783"/>
      <c r="F264" s="325"/>
      <c r="G264" s="319" t="str">
        <f>IFERROR(IF(E264="","",IF(F264="Direct-from-manufacturer",(E264*H264/1000*'Reporting Year &amp; Inflation Adj.'!$F$9),(E264*I264/1000*'Reporting Year &amp; Inflation Adj.'!$F$9))),"")</f>
        <v/>
      </c>
      <c r="H264" s="804">
        <v>0.42309209008499993</v>
      </c>
      <c r="I264" s="805">
        <v>0.43948960778500001</v>
      </c>
      <c r="J264" s="806">
        <v>3.846069204045674E-2</v>
      </c>
      <c r="K264" s="68">
        <v>331490</v>
      </c>
      <c r="L264" s="68" t="s">
        <v>3569</v>
      </c>
      <c r="M264" s="69" t="s">
        <v>440</v>
      </c>
      <c r="N264" s="69" t="s">
        <v>631</v>
      </c>
      <c r="O264" s="70">
        <v>0.41561787219000002</v>
      </c>
      <c r="P264" s="70">
        <v>1.7676942274000004E-2</v>
      </c>
      <c r="Q264" s="70">
        <v>0.43342912461000005</v>
      </c>
    </row>
    <row r="265" spans="3:17" ht="71.25">
      <c r="C265" s="321" t="s">
        <v>388</v>
      </c>
      <c r="D265" s="322"/>
      <c r="E265" s="783"/>
      <c r="F265" s="323" t="s">
        <v>366</v>
      </c>
      <c r="G265" s="319" t="str">
        <f>IFERROR(IF(E265="","",IF(F265="Direct-from-manufacturer",(E265*H265/1000*'Reporting Year &amp; Inflation Adj.'!$F$9),(E265*I265/1000*'Reporting Year &amp; Inflation Adj.'!$F$9))),"")</f>
        <v/>
      </c>
      <c r="H265" s="804">
        <v>0.37457620810500003</v>
      </c>
      <c r="I265" s="805">
        <v>0.37457620810500003</v>
      </c>
      <c r="J265" s="806">
        <v>0</v>
      </c>
      <c r="K265" s="68" t="s">
        <v>389</v>
      </c>
      <c r="L265" s="68" t="s">
        <v>3570</v>
      </c>
      <c r="M265" s="69" t="s">
        <v>371</v>
      </c>
      <c r="N265" s="69" t="s">
        <v>387</v>
      </c>
      <c r="O265" s="70">
        <v>0.38199522070000014</v>
      </c>
      <c r="P265" s="70">
        <v>0</v>
      </c>
      <c r="Q265" s="70">
        <v>0.38199522070000014</v>
      </c>
    </row>
    <row r="266" spans="3:17" ht="71.25">
      <c r="C266" s="321" t="s">
        <v>1025</v>
      </c>
      <c r="D266" s="322"/>
      <c r="E266" s="783"/>
      <c r="F266" s="323" t="s">
        <v>366</v>
      </c>
      <c r="G266" s="319" t="str">
        <f>IFERROR(IF(E266="","",IF(F266="Direct-from-manufacturer",(E266*H266/1000*'Reporting Year &amp; Inflation Adj.'!$F$9),(E266*I266/1000*'Reporting Year &amp; Inflation Adj.'!$F$9))),"")</f>
        <v/>
      </c>
      <c r="H266" s="804">
        <v>0.11011129349999998</v>
      </c>
      <c r="I266" s="805">
        <v>0.11011129349999998</v>
      </c>
      <c r="J266" s="806">
        <v>0</v>
      </c>
      <c r="K266" s="68">
        <v>561900</v>
      </c>
      <c r="L266" s="68" t="s">
        <v>3571</v>
      </c>
      <c r="M266" s="69" t="s">
        <v>1006</v>
      </c>
      <c r="N266" s="69" t="s">
        <v>1027</v>
      </c>
      <c r="O266" s="70">
        <v>0.12774499585999999</v>
      </c>
      <c r="P266" s="70">
        <v>0</v>
      </c>
      <c r="Q266" s="70">
        <v>0.12774499585999999</v>
      </c>
    </row>
    <row r="267" spans="3:17" ht="28.5">
      <c r="C267" s="321" t="s">
        <v>506</v>
      </c>
      <c r="D267" s="322"/>
      <c r="E267" s="783"/>
      <c r="F267" s="325"/>
      <c r="G267" s="319" t="str">
        <f>IFERROR(IF(E267="","",IF(F267="Direct-from-manufacturer",(E267*H267/1000*'Reporting Year &amp; Inflation Adj.'!$F$9),(E267*I267/1000*'Reporting Year &amp; Inflation Adj.'!$F$9))),"")</f>
        <v/>
      </c>
      <c r="H267" s="804">
        <v>0.17673355617999997</v>
      </c>
      <c r="I267" s="805">
        <v>0.21843853084000006</v>
      </c>
      <c r="J267" s="806">
        <v>0.19234547606335653</v>
      </c>
      <c r="K267" s="68">
        <v>314900</v>
      </c>
      <c r="L267" s="68" t="s">
        <v>3572</v>
      </c>
      <c r="M267" s="69" t="s">
        <v>440</v>
      </c>
      <c r="N267" s="69" t="s">
        <v>508</v>
      </c>
      <c r="O267" s="70">
        <v>0.19902708847999998</v>
      </c>
      <c r="P267" s="70">
        <v>4.5984782549999992E-2</v>
      </c>
      <c r="Q267" s="70">
        <v>0.24460090095000001</v>
      </c>
    </row>
    <row r="268" spans="3:17" ht="57">
      <c r="C268" s="321" t="s">
        <v>819</v>
      </c>
      <c r="D268" s="322"/>
      <c r="E268" s="783"/>
      <c r="F268" s="325"/>
      <c r="G268" s="319" t="str">
        <f>IFERROR(IF(E268="","",IF(F268="Direct-from-manufacturer",(E268*H268/1000*'Reporting Year &amp; Inflation Adj.'!$F$9),(E268*I268/1000*'Reporting Year &amp; Inflation Adj.'!$F$9))),"")</f>
        <v/>
      </c>
      <c r="H268" s="804">
        <v>0.14884952899000004</v>
      </c>
      <c r="I268" s="805">
        <v>0.18533760860500004</v>
      </c>
      <c r="J268" s="806">
        <v>0.19580726981507496</v>
      </c>
      <c r="K268" s="68">
        <v>336999</v>
      </c>
      <c r="L268" s="68" t="s">
        <v>3573</v>
      </c>
      <c r="M268" s="69" t="s">
        <v>440</v>
      </c>
      <c r="N268" s="69" t="s">
        <v>817</v>
      </c>
      <c r="O268" s="70">
        <v>0.15818096037000001</v>
      </c>
      <c r="P268" s="70">
        <v>3.8647905687000002E-2</v>
      </c>
      <c r="Q268" s="70">
        <v>0.19702006317999998</v>
      </c>
    </row>
    <row r="269" spans="3:17" ht="71.25">
      <c r="C269" s="321" t="s">
        <v>799</v>
      </c>
      <c r="D269" s="322"/>
      <c r="E269" s="783"/>
      <c r="F269" s="325"/>
      <c r="G269" s="319" t="str">
        <f>IFERROR(IF(E269="","",IF(F269="Direct-from-manufacturer",(E269*H269/1000*'Reporting Year &amp; Inflation Adj.'!$F$9),(E269*I269/1000*'Reporting Year &amp; Inflation Adj.'!$F$9))),"")</f>
        <v/>
      </c>
      <c r="H269" s="804">
        <v>0.22226632837000002</v>
      </c>
      <c r="I269" s="805">
        <v>0.24481834794999999</v>
      </c>
      <c r="J269" s="806">
        <v>9.0931154798685923E-2</v>
      </c>
      <c r="K269" s="68">
        <v>336390</v>
      </c>
      <c r="L269" s="68" t="s">
        <v>3574</v>
      </c>
      <c r="M269" s="69" t="s">
        <v>440</v>
      </c>
      <c r="N269" s="69" t="s">
        <v>792</v>
      </c>
      <c r="O269" s="70">
        <v>0.24308240607000001</v>
      </c>
      <c r="P269" s="70">
        <v>2.3916725109999998E-2</v>
      </c>
      <c r="Q269" s="70">
        <v>0.26699881278999998</v>
      </c>
    </row>
    <row r="270" spans="3:17" ht="57">
      <c r="C270" s="321" t="s">
        <v>1046</v>
      </c>
      <c r="D270" s="322"/>
      <c r="E270" s="783"/>
      <c r="F270" s="323" t="s">
        <v>366</v>
      </c>
      <c r="G270" s="319" t="str">
        <f>IFERROR(IF(E270="","",IF(F270="Direct-from-manufacturer",(E270*H270/1000*'Reporting Year &amp; Inflation Adj.'!$F$9),(E270*I270/1000*'Reporting Year &amp; Inflation Adj.'!$F$9))),"")</f>
        <v/>
      </c>
      <c r="H270" s="804">
        <v>8.8728111115000008E-2</v>
      </c>
      <c r="I270" s="805">
        <v>8.8728111115000008E-2</v>
      </c>
      <c r="J270" s="806">
        <v>0</v>
      </c>
      <c r="K270" s="68">
        <v>621400</v>
      </c>
      <c r="L270" s="68" t="s">
        <v>3575</v>
      </c>
      <c r="M270" s="69" t="s">
        <v>1038</v>
      </c>
      <c r="N270" s="69" t="s">
        <v>1048</v>
      </c>
      <c r="O270" s="70">
        <v>9.7046168459999985E-2</v>
      </c>
      <c r="P270" s="70">
        <v>0</v>
      </c>
      <c r="Q270" s="70">
        <v>9.7046168459999985E-2</v>
      </c>
    </row>
    <row r="271" spans="3:17" ht="71.25">
      <c r="C271" s="321" t="s">
        <v>464</v>
      </c>
      <c r="D271" s="322"/>
      <c r="E271" s="783"/>
      <c r="F271" s="325"/>
      <c r="G271" s="319" t="str">
        <f>IFERROR(IF(E271="","",IF(F271="Direct-from-manufacturer",(E271*H271/1000*'Reporting Year &amp; Inflation Adj.'!$F$9),(E271*I271/1000*'Reporting Year &amp; Inflation Adj.'!$F$9))),"")</f>
        <v/>
      </c>
      <c r="H271" s="804">
        <v>0.90184057032500009</v>
      </c>
      <c r="I271" s="805">
        <v>0.93037815791000023</v>
      </c>
      <c r="J271" s="806">
        <v>3.0476859827294991E-2</v>
      </c>
      <c r="K271" s="68" t="s">
        <v>465</v>
      </c>
      <c r="L271" s="68" t="s">
        <v>3576</v>
      </c>
      <c r="M271" s="69" t="s">
        <v>440</v>
      </c>
      <c r="N271" s="69" t="s">
        <v>466</v>
      </c>
      <c r="O271" s="70">
        <v>1.1325682626499998</v>
      </c>
      <c r="P271" s="70">
        <v>3.3685192740000001E-2</v>
      </c>
      <c r="Q271" s="70">
        <v>1.16719155161</v>
      </c>
    </row>
    <row r="272" spans="3:17" ht="42.75">
      <c r="C272" s="321" t="s">
        <v>467</v>
      </c>
      <c r="D272" s="322"/>
      <c r="E272" s="783"/>
      <c r="F272" s="325"/>
      <c r="G272" s="319" t="str">
        <f>IFERROR(IF(E272="","",IF(F272="Direct-from-manufacturer",(E272*H272/1000*'Reporting Year &amp; Inflation Adj.'!$F$9),(E272*I272/1000*'Reporting Year &amp; Inflation Adj.'!$F$9))),"")</f>
        <v/>
      </c>
      <c r="H272" s="804">
        <v>0.43645850016999999</v>
      </c>
      <c r="I272" s="805">
        <v>0.47508573244999996</v>
      </c>
      <c r="J272" s="806">
        <v>8.0599903563784658E-2</v>
      </c>
      <c r="K272" s="68">
        <v>311615</v>
      </c>
      <c r="L272" s="68" t="s">
        <v>3577</v>
      </c>
      <c r="M272" s="69" t="s">
        <v>440</v>
      </c>
      <c r="N272" s="69" t="s">
        <v>466</v>
      </c>
      <c r="O272" s="70">
        <v>0.36950888717000002</v>
      </c>
      <c r="P272" s="70">
        <v>3.0894838415E-2</v>
      </c>
      <c r="Q272" s="70">
        <v>0.40007067654000006</v>
      </c>
    </row>
    <row r="273" spans="3:17" ht="42.75">
      <c r="C273" s="321" t="s">
        <v>720</v>
      </c>
      <c r="D273" s="322"/>
      <c r="E273" s="783"/>
      <c r="F273" s="325"/>
      <c r="G273" s="319" t="str">
        <f>IFERROR(IF(E273="","",IF(F273="Direct-from-manufacturer",(E273*H273/1000*'Reporting Year &amp; Inflation Adj.'!$F$9),(E273*I273/1000*'Reporting Year &amp; Inflation Adj.'!$F$9))),"")</f>
        <v/>
      </c>
      <c r="H273" s="804">
        <v>9.3657481550000005E-2</v>
      </c>
      <c r="I273" s="805">
        <v>0.11347922044</v>
      </c>
      <c r="J273" s="806">
        <v>0.17200978077145485</v>
      </c>
      <c r="K273" s="68">
        <v>333993</v>
      </c>
      <c r="L273" s="68" t="s">
        <v>3578</v>
      </c>
      <c r="M273" s="69" t="s">
        <v>440</v>
      </c>
      <c r="N273" s="69" t="s">
        <v>715</v>
      </c>
      <c r="O273" s="70">
        <v>0.11316522891</v>
      </c>
      <c r="P273" s="70">
        <v>2.331194961E-2</v>
      </c>
      <c r="Q273" s="70">
        <v>0.13708281952000001</v>
      </c>
    </row>
    <row r="274" spans="3:17" ht="71.25">
      <c r="C274" s="321" t="s">
        <v>569</v>
      </c>
      <c r="D274" s="322"/>
      <c r="E274" s="783"/>
      <c r="F274" s="325"/>
      <c r="G274" s="319" t="str">
        <f>IFERROR(IF(E274="","",IF(F274="Direct-from-manufacturer",(E274*H274/1000*'Reporting Year &amp; Inflation Adj.'!$F$9),(E274*I274/1000*'Reporting Year &amp; Inflation Adj.'!$F$9))),"")</f>
        <v/>
      </c>
      <c r="H274" s="804">
        <v>0.23381680672999999</v>
      </c>
      <c r="I274" s="805">
        <v>0.25979084622000004</v>
      </c>
      <c r="J274" s="806">
        <v>0.10038565880768237</v>
      </c>
      <c r="K274" s="68">
        <v>325510</v>
      </c>
      <c r="L274" s="68" t="s">
        <v>3579</v>
      </c>
      <c r="M274" s="69" t="s">
        <v>440</v>
      </c>
      <c r="N274" s="69" t="s">
        <v>571</v>
      </c>
      <c r="O274" s="70">
        <v>0.26528996117000003</v>
      </c>
      <c r="P274" s="70">
        <v>2.7608966799999999E-2</v>
      </c>
      <c r="Q274" s="70">
        <v>0.29369753056000009</v>
      </c>
    </row>
    <row r="275" spans="3:17" ht="57">
      <c r="C275" s="321" t="s">
        <v>529</v>
      </c>
      <c r="D275" s="322"/>
      <c r="E275" s="783"/>
      <c r="F275" s="325"/>
      <c r="G275" s="319" t="str">
        <f>IFERROR(IF(E275="","",IF(F275="Direct-from-manufacturer",(E275*H275/1000*'Reporting Year &amp; Inflation Adj.'!$F$9),(E275*I275/1000*'Reporting Year &amp; Inflation Adj.'!$F$9))),"")</f>
        <v/>
      </c>
      <c r="H275" s="804">
        <v>0.61318691408999992</v>
      </c>
      <c r="I275" s="805">
        <v>0.65746818335000001</v>
      </c>
      <c r="J275" s="806">
        <v>6.657778494613141E-2</v>
      </c>
      <c r="K275" s="68">
        <v>322120</v>
      </c>
      <c r="L275" s="68" t="s">
        <v>3580</v>
      </c>
      <c r="M275" s="69" t="s">
        <v>440</v>
      </c>
      <c r="N275" s="69" t="s">
        <v>528</v>
      </c>
      <c r="O275" s="70">
        <v>0.6043926944600001</v>
      </c>
      <c r="P275" s="70">
        <v>4.6905604510000004E-2</v>
      </c>
      <c r="Q275" s="70">
        <v>0.65133209347999999</v>
      </c>
    </row>
    <row r="276" spans="3:17" ht="99.75">
      <c r="C276" s="321" t="s">
        <v>534</v>
      </c>
      <c r="D276" s="322"/>
      <c r="E276" s="783"/>
      <c r="F276" s="325"/>
      <c r="G276" s="319" t="str">
        <f>IFERROR(IF(E276="","",IF(F276="Direct-from-manufacturer",(E276*H276/1000*'Reporting Year &amp; Inflation Adj.'!$F$9),(E276*I276/1000*'Reporting Year &amp; Inflation Adj.'!$F$9))),"")</f>
        <v/>
      </c>
      <c r="H276" s="804">
        <v>0.2923289302999999</v>
      </c>
      <c r="I276" s="805">
        <v>0.3239224904800001</v>
      </c>
      <c r="J276" s="806">
        <v>9.7918004992488622E-2</v>
      </c>
      <c r="K276" s="68">
        <v>322220</v>
      </c>
      <c r="L276" s="68" t="s">
        <v>3581</v>
      </c>
      <c r="M276" s="69" t="s">
        <v>440</v>
      </c>
      <c r="N276" s="69" t="s">
        <v>533</v>
      </c>
      <c r="O276" s="70">
        <v>0.33170700862999997</v>
      </c>
      <c r="P276" s="70">
        <v>3.4188710379999994E-2</v>
      </c>
      <c r="Q276" s="70">
        <v>0.36597936424999994</v>
      </c>
    </row>
    <row r="277" spans="3:17" ht="42.75">
      <c r="C277" s="321" t="s">
        <v>1070</v>
      </c>
      <c r="D277" s="322"/>
      <c r="E277" s="783"/>
      <c r="F277" s="323" t="s">
        <v>366</v>
      </c>
      <c r="G277" s="319" t="str">
        <f>IFERROR(IF(E277="","",IF(F277="Direct-from-manufacturer",(E277*H277/1000*'Reporting Year &amp; Inflation Adj.'!$F$9),(E277*I277/1000*'Reporting Year &amp; Inflation Adj.'!$F$9))),"")</f>
        <v/>
      </c>
      <c r="H277" s="804">
        <v>7.3961141435000002E-2</v>
      </c>
      <c r="I277" s="805">
        <v>7.3961141435000002E-2</v>
      </c>
      <c r="J277" s="806">
        <v>0</v>
      </c>
      <c r="K277" s="68">
        <v>711100</v>
      </c>
      <c r="L277" s="68" t="s">
        <v>3582</v>
      </c>
      <c r="M277" s="69" t="s">
        <v>1071</v>
      </c>
      <c r="N277" s="69" t="s">
        <v>1072</v>
      </c>
      <c r="O277" s="70">
        <v>8.6966223778000007E-2</v>
      </c>
      <c r="P277" s="70">
        <v>0</v>
      </c>
      <c r="Q277" s="70">
        <v>8.6966223778000007E-2</v>
      </c>
    </row>
    <row r="278" spans="3:17" ht="57">
      <c r="C278" s="321" t="s">
        <v>562</v>
      </c>
      <c r="D278" s="322"/>
      <c r="E278" s="783"/>
      <c r="F278" s="325"/>
      <c r="G278" s="319" t="str">
        <f>IFERROR(IF(E278="","",IF(F278="Direct-from-manufacturer",(E278*H278/1000*'Reporting Year &amp; Inflation Adj.'!$F$9),(E278*I278/1000*'Reporting Year &amp; Inflation Adj.'!$F$9))),"")</f>
        <v/>
      </c>
      <c r="H278" s="804">
        <v>0.4895777675600001</v>
      </c>
      <c r="I278" s="805">
        <v>0.52720455749999995</v>
      </c>
      <c r="J278" s="806">
        <v>7.2395615244657693E-2</v>
      </c>
      <c r="K278" s="68">
        <v>325320</v>
      </c>
      <c r="L278" s="68" t="s">
        <v>3583</v>
      </c>
      <c r="M278" s="69" t="s">
        <v>440</v>
      </c>
      <c r="N278" s="69" t="s">
        <v>561</v>
      </c>
      <c r="O278" s="70">
        <v>0.43564422722000001</v>
      </c>
      <c r="P278" s="70">
        <v>3.1160217010000005E-2</v>
      </c>
      <c r="Q278" s="70">
        <v>0.46635036561999993</v>
      </c>
    </row>
    <row r="279" spans="3:17" ht="30">
      <c r="C279" s="321" t="s">
        <v>1113</v>
      </c>
      <c r="D279" s="322"/>
      <c r="E279" s="783"/>
      <c r="F279" s="323" t="s">
        <v>366</v>
      </c>
      <c r="G279" s="319" t="str">
        <f>IFERROR(IF(E279="","",IF(F279="Direct-from-manufacturer",(E279*H279/1000*'Reporting Year &amp; Inflation Adj.'!$F$9),(E279*I279/1000*'Reporting Year &amp; Inflation Adj.'!$F$9))),"")</f>
        <v/>
      </c>
      <c r="H279" s="804">
        <v>9.1780209469999999E-2</v>
      </c>
      <c r="I279" s="805">
        <v>9.1780209469999999E-2</v>
      </c>
      <c r="J279" s="806">
        <v>0</v>
      </c>
      <c r="K279" s="68">
        <v>812900</v>
      </c>
      <c r="L279" s="68" t="s">
        <v>3584</v>
      </c>
      <c r="M279" s="69" t="s">
        <v>1098</v>
      </c>
      <c r="N279" s="69" t="s">
        <v>1114</v>
      </c>
      <c r="O279" s="70">
        <v>0.11175354438</v>
      </c>
      <c r="P279" s="70">
        <v>0</v>
      </c>
      <c r="Q279" s="70">
        <v>0.11175354438</v>
      </c>
    </row>
    <row r="280" spans="3:17" ht="71.25">
      <c r="C280" s="321" t="s">
        <v>548</v>
      </c>
      <c r="D280" s="322"/>
      <c r="E280" s="783"/>
      <c r="F280" s="325"/>
      <c r="G280" s="319" t="str">
        <f>IFERROR(IF(E280="","",IF(F280="Direct-from-manufacturer",(E280*H280/1000*'Reporting Year &amp; Inflation Adj.'!$F$9),(E280*I280/1000*'Reporting Year &amp; Inflation Adj.'!$F$9))),"")</f>
        <v/>
      </c>
      <c r="H280" s="804">
        <v>1.0741513641099998</v>
      </c>
      <c r="I280" s="805">
        <v>1.10096928885</v>
      </c>
      <c r="J280" s="806">
        <v>2.4493713233516051E-2</v>
      </c>
      <c r="K280" s="68">
        <v>325110</v>
      </c>
      <c r="L280" s="68" t="s">
        <v>3585</v>
      </c>
      <c r="M280" s="69" t="s">
        <v>440</v>
      </c>
      <c r="N280" s="69" t="s">
        <v>550</v>
      </c>
      <c r="O280" s="70">
        <v>0.79952337527999995</v>
      </c>
      <c r="P280" s="70">
        <v>1.6455985262000001E-2</v>
      </c>
      <c r="Q280" s="70">
        <v>0.8161715717000001</v>
      </c>
    </row>
    <row r="281" spans="3:17" ht="57">
      <c r="C281" s="321" t="s">
        <v>874</v>
      </c>
      <c r="D281" s="322"/>
      <c r="E281" s="783"/>
      <c r="F281" s="323" t="s">
        <v>366</v>
      </c>
      <c r="G281" s="319" t="str">
        <f>IFERROR(IF(E281="","",IF(F281="Direct-from-manufacturer",(E281*H281/1000*'Reporting Year &amp; Inflation Adj.'!$F$9),(E281*I281/1000*'Reporting Year &amp; Inflation Adj.'!$F$9))),"")</f>
        <v/>
      </c>
      <c r="H281" s="804">
        <v>9.5591938515000002E-2</v>
      </c>
      <c r="I281" s="805">
        <v>9.5591938515000002E-2</v>
      </c>
      <c r="J281" s="806">
        <v>0</v>
      </c>
      <c r="K281" s="68">
        <v>424700</v>
      </c>
      <c r="L281" s="68" t="s">
        <v>3586</v>
      </c>
      <c r="M281" s="69" t="s">
        <v>853</v>
      </c>
      <c r="N281" s="69" t="s">
        <v>876</v>
      </c>
      <c r="O281" s="70">
        <v>0.10373409993299998</v>
      </c>
      <c r="P281" s="70">
        <v>0</v>
      </c>
      <c r="Q281" s="70">
        <v>0.10373409993299998</v>
      </c>
    </row>
    <row r="282" spans="3:17" ht="57">
      <c r="C282" s="321" t="s">
        <v>566</v>
      </c>
      <c r="D282" s="322"/>
      <c r="E282" s="783"/>
      <c r="F282" s="325"/>
      <c r="G282" s="319" t="str">
        <f>IFERROR(IF(E282="","",IF(F282="Direct-from-manufacturer",(E282*H282/1000*'Reporting Year &amp; Inflation Adj.'!$F$9),(E282*I282/1000*'Reporting Year &amp; Inflation Adj.'!$F$9))),"")</f>
        <v/>
      </c>
      <c r="H282" s="804">
        <v>4.3445766014999998E-2</v>
      </c>
      <c r="I282" s="805">
        <v>9.2694949965000009E-2</v>
      </c>
      <c r="J282" s="806">
        <v>0.53271160887022329</v>
      </c>
      <c r="K282" s="68">
        <v>325412</v>
      </c>
      <c r="L282" s="68" t="s">
        <v>3587</v>
      </c>
      <c r="M282" s="69" t="s">
        <v>440</v>
      </c>
      <c r="N282" s="69" t="s">
        <v>565</v>
      </c>
      <c r="O282" s="70">
        <v>4.5614550110000006E-2</v>
      </c>
      <c r="P282" s="70">
        <v>5.3858263049999994E-2</v>
      </c>
      <c r="Q282" s="70">
        <v>9.9569669200000002E-2</v>
      </c>
    </row>
    <row r="283" spans="3:17" ht="57">
      <c r="C283" s="321" t="s">
        <v>1001</v>
      </c>
      <c r="D283" s="322"/>
      <c r="E283" s="783"/>
      <c r="F283" s="323" t="s">
        <v>366</v>
      </c>
      <c r="G283" s="319" t="str">
        <f>IFERROR(IF(E283="","",IF(F283="Direct-from-manufacturer",(E283*H283/1000*'Reporting Year &amp; Inflation Adj.'!$F$9),(E283*I283/1000*'Reporting Year &amp; Inflation Adj.'!$F$9))),"")</f>
        <v/>
      </c>
      <c r="H283" s="804">
        <v>0.11171586919</v>
      </c>
      <c r="I283" s="805">
        <v>0.11171586919</v>
      </c>
      <c r="J283" s="806">
        <v>0</v>
      </c>
      <c r="K283" s="68">
        <v>541920</v>
      </c>
      <c r="L283" s="68" t="s">
        <v>3588</v>
      </c>
      <c r="M283" s="69" t="s">
        <v>981</v>
      </c>
      <c r="N283" s="69" t="s">
        <v>1652</v>
      </c>
      <c r="O283" s="70">
        <v>0.12554683006</v>
      </c>
      <c r="P283" s="70">
        <v>0</v>
      </c>
      <c r="Q283" s="70">
        <v>0.12554683006</v>
      </c>
    </row>
    <row r="284" spans="3:17" ht="57">
      <c r="C284" s="321" t="s">
        <v>693</v>
      </c>
      <c r="D284" s="322"/>
      <c r="E284" s="783"/>
      <c r="F284" s="325"/>
      <c r="G284" s="319" t="str">
        <f>IFERROR(IF(E284="","",IF(F284="Direct-from-manufacturer",(E284*H284/1000*'Reporting Year &amp; Inflation Adj.'!$F$9),(E284*I284/1000*'Reporting Year &amp; Inflation Adj.'!$F$9))),"")</f>
        <v/>
      </c>
      <c r="H284" s="804">
        <v>6.9672254334999989E-2</v>
      </c>
      <c r="I284" s="805">
        <v>0.11280962276000001</v>
      </c>
      <c r="J284" s="806">
        <v>0.38318396784256742</v>
      </c>
      <c r="K284" s="68">
        <v>333316</v>
      </c>
      <c r="L284" s="68" t="s">
        <v>3589</v>
      </c>
      <c r="M284" s="69" t="s">
        <v>440</v>
      </c>
      <c r="N284" s="69" t="s">
        <v>692</v>
      </c>
      <c r="O284" s="70">
        <v>8.5510410029999998E-2</v>
      </c>
      <c r="P284" s="70">
        <v>5.0440933330000007E-2</v>
      </c>
      <c r="Q284" s="70">
        <v>0.13614725919000001</v>
      </c>
    </row>
    <row r="285" spans="3:17" ht="71.25">
      <c r="C285" s="321" t="s">
        <v>1036</v>
      </c>
      <c r="D285" s="322"/>
      <c r="E285" s="783"/>
      <c r="F285" s="323" t="s">
        <v>366</v>
      </c>
      <c r="G285" s="319" t="str">
        <f>IFERROR(IF(E285="","",IF(F285="Direct-from-manufacturer",(E285*H285/1000*'Reporting Year &amp; Inflation Adj.'!$F$9),(E285*I285/1000*'Reporting Year &amp; Inflation Adj.'!$F$9))),"")</f>
        <v/>
      </c>
      <c r="H285" s="804">
        <v>7.8031887680000023E-2</v>
      </c>
      <c r="I285" s="805">
        <v>7.8031887680000023E-2</v>
      </c>
      <c r="J285" s="806">
        <v>0</v>
      </c>
      <c r="K285" s="68">
        <v>621100</v>
      </c>
      <c r="L285" s="68" t="s">
        <v>3590</v>
      </c>
      <c r="M285" s="69" t="s">
        <v>1038</v>
      </c>
      <c r="N285" s="69" t="s">
        <v>1039</v>
      </c>
      <c r="O285" s="70">
        <v>8.4197755349999986E-2</v>
      </c>
      <c r="P285" s="70">
        <v>0</v>
      </c>
      <c r="Q285" s="70">
        <v>8.4197755349999986E-2</v>
      </c>
    </row>
    <row r="286" spans="3:17" ht="57">
      <c r="C286" s="321" t="s">
        <v>782</v>
      </c>
      <c r="D286" s="322"/>
      <c r="E286" s="783"/>
      <c r="F286" s="325"/>
      <c r="G286" s="319" t="str">
        <f>IFERROR(IF(E286="","",IF(F286="Direct-from-manufacturer",(E286*H286/1000*'Reporting Year &amp; Inflation Adj.'!$F$9),(E286*I286/1000*'Reporting Year &amp; Inflation Adj.'!$F$9))),"")</f>
        <v/>
      </c>
      <c r="H286" s="804">
        <v>0.22081176025999999</v>
      </c>
      <c r="I286" s="805">
        <v>0.24542484462</v>
      </c>
      <c r="J286" s="806">
        <v>0.10018410319489029</v>
      </c>
      <c r="K286" s="68">
        <v>336112</v>
      </c>
      <c r="L286" s="68" t="s">
        <v>3591</v>
      </c>
      <c r="M286" s="69" t="s">
        <v>440</v>
      </c>
      <c r="N286" s="69" t="s">
        <v>781</v>
      </c>
      <c r="O286" s="70">
        <v>0.24326222783999993</v>
      </c>
      <c r="P286" s="70">
        <v>2.6772232646E-2</v>
      </c>
      <c r="Q286" s="70">
        <v>0.26921807885999999</v>
      </c>
    </row>
    <row r="287" spans="3:17" ht="42.75">
      <c r="C287" s="321" t="s">
        <v>582</v>
      </c>
      <c r="D287" s="322"/>
      <c r="E287" s="783"/>
      <c r="F287" s="325"/>
      <c r="G287" s="319" t="str">
        <f>IFERROR(IF(E287="","",IF(F287="Direct-from-manufacturer",(E287*H287/1000*'Reporting Year &amp; Inflation Adj.'!$F$9),(E287*I287/1000*'Reporting Year &amp; Inflation Adj.'!$F$9))),"")</f>
        <v/>
      </c>
      <c r="H287" s="804">
        <v>0.48238730217000003</v>
      </c>
      <c r="I287" s="805">
        <v>0.50606931673</v>
      </c>
      <c r="J287" s="806">
        <v>4.7183645195663149E-2</v>
      </c>
      <c r="K287" s="68">
        <v>326110</v>
      </c>
      <c r="L287" s="68" t="s">
        <v>3592</v>
      </c>
      <c r="M287" s="69" t="s">
        <v>440</v>
      </c>
      <c r="N287" s="69" t="s">
        <v>584</v>
      </c>
      <c r="O287" s="70">
        <v>0.52348421889000007</v>
      </c>
      <c r="P287" s="70">
        <v>2.351999233E-2</v>
      </c>
      <c r="Q287" s="70">
        <v>0.54729505430000014</v>
      </c>
    </row>
    <row r="288" spans="3:17" ht="42.75">
      <c r="C288" s="321" t="s">
        <v>589</v>
      </c>
      <c r="D288" s="322"/>
      <c r="E288" s="783"/>
      <c r="F288" s="325"/>
      <c r="G288" s="319" t="str">
        <f>IFERROR(IF(E288="","",IF(F288="Direct-from-manufacturer",(E288*H288/1000*'Reporting Year &amp; Inflation Adj.'!$F$9),(E288*I288/1000*'Reporting Year &amp; Inflation Adj.'!$F$9))),"")</f>
        <v/>
      </c>
      <c r="H288" s="804">
        <v>0.49861901169999989</v>
      </c>
      <c r="I288" s="805">
        <v>0.52395571944999997</v>
      </c>
      <c r="J288" s="806">
        <v>4.8409477229536139E-2</v>
      </c>
      <c r="K288" s="68">
        <v>326160</v>
      </c>
      <c r="L288" s="68" t="s">
        <v>3593</v>
      </c>
      <c r="M288" s="69" t="s">
        <v>440</v>
      </c>
      <c r="N288" s="69" t="s">
        <v>584</v>
      </c>
      <c r="O288" s="70">
        <v>0.5556512979799999</v>
      </c>
      <c r="P288" s="70">
        <v>2.5777474839999998E-2</v>
      </c>
      <c r="Q288" s="70">
        <v>0.58135383307999999</v>
      </c>
    </row>
    <row r="289" spans="3:17" ht="42.75">
      <c r="C289" s="321" t="s">
        <v>585</v>
      </c>
      <c r="D289" s="322"/>
      <c r="E289" s="783"/>
      <c r="F289" s="325"/>
      <c r="G289" s="319" t="str">
        <f>IFERROR(IF(E289="","",IF(F289="Direct-from-manufacturer",(E289*H289/1000*'Reporting Year &amp; Inflation Adj.'!$F$9),(E289*I289/1000*'Reporting Year &amp; Inflation Adj.'!$F$9))),"")</f>
        <v/>
      </c>
      <c r="H289" s="804">
        <v>0.32636045278999998</v>
      </c>
      <c r="I289" s="805">
        <v>0.34749342882000006</v>
      </c>
      <c r="J289" s="806">
        <v>5.945266130687462E-2</v>
      </c>
      <c r="K289" s="68">
        <v>326120</v>
      </c>
      <c r="L289" s="68" t="s">
        <v>3594</v>
      </c>
      <c r="M289" s="69" t="s">
        <v>440</v>
      </c>
      <c r="N289" s="69" t="s">
        <v>584</v>
      </c>
      <c r="O289" s="70">
        <v>0.3334695438100001</v>
      </c>
      <c r="P289" s="70">
        <v>1.9263914397999998E-2</v>
      </c>
      <c r="Q289" s="70">
        <v>0.35255396824999996</v>
      </c>
    </row>
    <row r="290" spans="3:17" ht="71.25">
      <c r="C290" s="321" t="s">
        <v>20</v>
      </c>
      <c r="D290" s="322"/>
      <c r="E290" s="783"/>
      <c r="F290" s="325"/>
      <c r="G290" s="319" t="str">
        <f>IFERROR(IF(E290="","",IF(F290="Direct-from-manufacturer",(E290*H290/1000*'Reporting Year &amp; Inflation Adj.'!$F$9),(E290*I290/1000*'Reporting Year &amp; Inflation Adj.'!$F$9))),"")</f>
        <v/>
      </c>
      <c r="H290" s="804">
        <v>1.0794284655500002</v>
      </c>
      <c r="I290" s="805">
        <v>1.1084648110699997</v>
      </c>
      <c r="J290" s="806">
        <v>2.637493618022824E-2</v>
      </c>
      <c r="K290" s="68">
        <v>325211</v>
      </c>
      <c r="L290" s="68" t="s">
        <v>3595</v>
      </c>
      <c r="M290" s="69" t="s">
        <v>440</v>
      </c>
      <c r="N290" s="69" t="s">
        <v>556</v>
      </c>
      <c r="O290" s="70">
        <v>1.0265126327300003</v>
      </c>
      <c r="P290" s="70">
        <v>2.3765596268000001E-2</v>
      </c>
      <c r="Q290" s="70">
        <v>1.0503593402699998</v>
      </c>
    </row>
    <row r="291" spans="3:17" ht="85.5">
      <c r="C291" s="321" t="s">
        <v>518</v>
      </c>
      <c r="D291" s="322"/>
      <c r="E291" s="783"/>
      <c r="F291" s="325"/>
      <c r="G291" s="319" t="str">
        <f>IFERROR(IF(E291="","",IF(F291="Direct-from-manufacturer",(E291*H291/1000*'Reporting Year &amp; Inflation Adj.'!$F$9),(E291*I291/1000*'Reporting Year &amp; Inflation Adj.'!$F$9))),"")</f>
        <v/>
      </c>
      <c r="H291" s="804">
        <v>0.22250287687</v>
      </c>
      <c r="I291" s="805">
        <v>0.25041557557499999</v>
      </c>
      <c r="J291" s="806">
        <v>0.11109256826825478</v>
      </c>
      <c r="K291" s="68">
        <v>321200</v>
      </c>
      <c r="L291" s="68" t="s">
        <v>3596</v>
      </c>
      <c r="M291" s="69" t="s">
        <v>440</v>
      </c>
      <c r="N291" s="69" t="s">
        <v>520</v>
      </c>
      <c r="O291" s="70">
        <v>0.18880233258000004</v>
      </c>
      <c r="P291" s="70">
        <v>2.0890683063000005E-2</v>
      </c>
      <c r="Q291" s="70">
        <v>0.20898383300000001</v>
      </c>
    </row>
    <row r="292" spans="3:17" ht="42.75">
      <c r="C292" s="321" t="s">
        <v>587</v>
      </c>
      <c r="D292" s="322"/>
      <c r="E292" s="783"/>
      <c r="F292" s="325"/>
      <c r="G292" s="319" t="str">
        <f>IFERROR(IF(E292="","",IF(F292="Direct-from-manufacturer",(E292*H292/1000*'Reporting Year &amp; Inflation Adj.'!$F$9),(E292*I292/1000*'Reporting Year &amp; Inflation Adj.'!$F$9))),"")</f>
        <v/>
      </c>
      <c r="H292" s="804">
        <v>0.23095759288000001</v>
      </c>
      <c r="I292" s="805">
        <v>0.25512384109000003</v>
      </c>
      <c r="J292" s="806">
        <v>9.398112768512959E-2</v>
      </c>
      <c r="K292" s="68">
        <v>326140</v>
      </c>
      <c r="L292" s="68" t="s">
        <v>3597</v>
      </c>
      <c r="M292" s="69" t="s">
        <v>440</v>
      </c>
      <c r="N292" s="69" t="s">
        <v>584</v>
      </c>
      <c r="O292" s="70">
        <v>0.24782822651</v>
      </c>
      <c r="P292" s="70">
        <v>2.3910188079999999E-2</v>
      </c>
      <c r="Q292" s="70">
        <v>0.27213807374000004</v>
      </c>
    </row>
    <row r="293" spans="3:17" ht="28.5">
      <c r="C293" s="321" t="s">
        <v>356</v>
      </c>
      <c r="D293" s="322"/>
      <c r="E293" s="783"/>
      <c r="F293" s="325"/>
      <c r="G293" s="319" t="str">
        <f>IFERROR(IF(E293="","",IF(F293="Direct-from-manufacturer",(E293*H293/1000*'Reporting Year &amp; Inflation Adj.'!$F$9),(E293*I293/1000*'Reporting Year &amp; Inflation Adj.'!$F$9))),"")</f>
        <v/>
      </c>
      <c r="H293" s="804">
        <v>0.41601023800999998</v>
      </c>
      <c r="I293" s="805">
        <v>0.45100071931000008</v>
      </c>
      <c r="J293" s="806">
        <v>7.8901189240766209E-2</v>
      </c>
      <c r="K293" s="68">
        <v>112300</v>
      </c>
      <c r="L293" s="68" t="s">
        <v>3598</v>
      </c>
      <c r="M293" s="69" t="s">
        <v>332</v>
      </c>
      <c r="N293" s="69" t="s">
        <v>358</v>
      </c>
      <c r="O293" s="70">
        <v>0.41696386607999997</v>
      </c>
      <c r="P293" s="70">
        <v>3.1294767823999994E-2</v>
      </c>
      <c r="Q293" s="70">
        <v>0.44843209617000002</v>
      </c>
    </row>
    <row r="294" spans="3:17" ht="242.25">
      <c r="C294" s="321" t="s">
        <v>3317</v>
      </c>
      <c r="D294" s="322"/>
      <c r="E294" s="783"/>
      <c r="F294" s="323" t="s">
        <v>366</v>
      </c>
      <c r="G294" s="319" t="str">
        <f>IFERROR(IF(E294="","",IF(F294="Direct-from-manufacturer",(E294*H294/1000*'Reporting Year &amp; Inflation Adj.'!$F$9),(E294*I294/1000*'Reporting Year &amp; Inflation Adj.'!$F$9))),"")</f>
        <v/>
      </c>
      <c r="H294" s="804">
        <v>0.19846769498999997</v>
      </c>
      <c r="I294" s="805">
        <v>0.19846769498999997</v>
      </c>
      <c r="J294" s="806">
        <v>0</v>
      </c>
      <c r="K294" s="68" t="s">
        <v>410</v>
      </c>
      <c r="L294" s="68" t="s">
        <v>3599</v>
      </c>
      <c r="M294" s="69" t="s">
        <v>397</v>
      </c>
      <c r="N294" s="69" t="s">
        <v>3724</v>
      </c>
      <c r="O294" s="70">
        <v>0.22329488787999999</v>
      </c>
      <c r="P294" s="70">
        <v>0</v>
      </c>
      <c r="Q294" s="70">
        <v>0.22329488787999999</v>
      </c>
    </row>
    <row r="295" spans="3:17" ht="57">
      <c r="C295" s="321" t="s">
        <v>651</v>
      </c>
      <c r="D295" s="322"/>
      <c r="E295" s="783"/>
      <c r="F295" s="325"/>
      <c r="G295" s="319" t="str">
        <f>IFERROR(IF(E295="","",IF(F295="Direct-from-manufacturer",(E295*H295/1000*'Reporting Year &amp; Inflation Adj.'!$F$9),(E295*I295/1000*'Reporting Year &amp; Inflation Adj.'!$F$9))),"")</f>
        <v/>
      </c>
      <c r="H295" s="804">
        <v>0.14277550233</v>
      </c>
      <c r="I295" s="805">
        <v>0.16446235712500001</v>
      </c>
      <c r="J295" s="806">
        <v>0.13057291717324945</v>
      </c>
      <c r="K295" s="68">
        <v>332410</v>
      </c>
      <c r="L295" s="68" t="s">
        <v>3600</v>
      </c>
      <c r="M295" s="69" t="s">
        <v>440</v>
      </c>
      <c r="N295" s="69" t="s">
        <v>653</v>
      </c>
      <c r="O295" s="70">
        <v>0.18240474083000008</v>
      </c>
      <c r="P295" s="70">
        <v>2.7458899169999995E-2</v>
      </c>
      <c r="Q295" s="70">
        <v>0.21035898907</v>
      </c>
    </row>
    <row r="296" spans="3:17" ht="42.75">
      <c r="C296" s="321" t="s">
        <v>717</v>
      </c>
      <c r="D296" s="322"/>
      <c r="E296" s="783"/>
      <c r="F296" s="325"/>
      <c r="G296" s="319" t="str">
        <f>IFERROR(IF(E296="","",IF(F296="Direct-from-manufacturer",(E296*H296/1000*'Reporting Year &amp; Inflation Adj.'!$F$9),(E296*I296/1000*'Reporting Year &amp; Inflation Adj.'!$F$9))),"")</f>
        <v/>
      </c>
      <c r="H296" s="804">
        <v>6.9699774785000029E-2</v>
      </c>
      <c r="I296" s="805">
        <v>0.11270584881500002</v>
      </c>
      <c r="J296" s="806">
        <v>0.38249529233182583</v>
      </c>
      <c r="K296" s="68">
        <v>333991</v>
      </c>
      <c r="L296" s="68" t="s">
        <v>3601</v>
      </c>
      <c r="M296" s="69" t="s">
        <v>440</v>
      </c>
      <c r="N296" s="69" t="s">
        <v>715</v>
      </c>
      <c r="O296" s="70">
        <v>8.3811345370000012E-2</v>
      </c>
      <c r="P296" s="70">
        <v>5.3077349519999997E-2</v>
      </c>
      <c r="Q296" s="70">
        <v>0.13708540869000002</v>
      </c>
    </row>
    <row r="297" spans="3:17" ht="71.25">
      <c r="C297" s="321" t="s">
        <v>624</v>
      </c>
      <c r="D297" s="322"/>
      <c r="E297" s="783"/>
      <c r="F297" s="325"/>
      <c r="G297" s="319" t="str">
        <f>IFERROR(IF(E297="","",IF(F297="Direct-from-manufacturer",(E297*H297/1000*'Reporting Year &amp; Inflation Adj.'!$F$9),(E297*I297/1000*'Reporting Year &amp; Inflation Adj.'!$F$9))),"")</f>
        <v/>
      </c>
      <c r="H297" s="804">
        <v>0.98188257017000002</v>
      </c>
      <c r="I297" s="805">
        <v>0.99579883295999994</v>
      </c>
      <c r="J297" s="806">
        <v>1.3993036028251424E-2</v>
      </c>
      <c r="K297" s="68">
        <v>331313</v>
      </c>
      <c r="L297" s="68" t="s">
        <v>3602</v>
      </c>
      <c r="M297" s="69" t="s">
        <v>440</v>
      </c>
      <c r="N297" s="69" t="s">
        <v>626</v>
      </c>
      <c r="O297" s="70">
        <v>1.0153660234199999</v>
      </c>
      <c r="P297" s="70">
        <v>1.4563116326999999E-2</v>
      </c>
      <c r="Q297" s="70">
        <v>1.0296261698600002</v>
      </c>
    </row>
    <row r="298" spans="3:17" ht="57">
      <c r="C298" s="321" t="s">
        <v>774</v>
      </c>
      <c r="D298" s="322"/>
      <c r="E298" s="783"/>
      <c r="F298" s="325"/>
      <c r="G298" s="319" t="str">
        <f>IFERROR(IF(E298="","",IF(F298="Direct-from-manufacturer",(E298*H298/1000*'Reporting Year &amp; Inflation Adj.'!$F$9),(E298*I298/1000*'Reporting Year &amp; Inflation Adj.'!$F$9))),"")</f>
        <v/>
      </c>
      <c r="H298" s="804">
        <v>3.9737992139999991E-2</v>
      </c>
      <c r="I298" s="805">
        <v>9.1219790034999998E-2</v>
      </c>
      <c r="J298" s="806">
        <v>0.56415855364558998</v>
      </c>
      <c r="K298" s="68">
        <v>335912</v>
      </c>
      <c r="L298" s="68" t="s">
        <v>3603</v>
      </c>
      <c r="M298" s="69" t="s">
        <v>440</v>
      </c>
      <c r="N298" s="69" t="s">
        <v>773</v>
      </c>
      <c r="O298" s="70">
        <v>4.6132598218999996E-2</v>
      </c>
      <c r="P298" s="70">
        <v>5.7275976110000001E-2</v>
      </c>
      <c r="Q298" s="70">
        <v>0.10330124572999999</v>
      </c>
    </row>
    <row r="299" spans="3:17" ht="71.25">
      <c r="C299" s="321" t="s">
        <v>618</v>
      </c>
      <c r="D299" s="322"/>
      <c r="E299" s="783"/>
      <c r="F299" s="325"/>
      <c r="G299" s="319" t="str">
        <f>IFERROR(IF(E299="","",IF(F299="Direct-from-manufacturer",(E299*H299/1000*'Reporting Year &amp; Inflation Adj.'!$F$9),(E299*I299/1000*'Reporting Year &amp; Inflation Adj.'!$F$9))),"")</f>
        <v/>
      </c>
      <c r="H299" s="804">
        <v>0.97987255645499982</v>
      </c>
      <c r="I299" s="805">
        <v>1.0052146967749997</v>
      </c>
      <c r="J299" s="806">
        <v>2.5246835612751234E-2</v>
      </c>
      <c r="K299" s="68">
        <v>331110</v>
      </c>
      <c r="L299" s="68" t="s">
        <v>3604</v>
      </c>
      <c r="M299" s="69" t="s">
        <v>440</v>
      </c>
      <c r="N299" s="69" t="s">
        <v>620</v>
      </c>
      <c r="O299" s="70">
        <v>0.77183945699000012</v>
      </c>
      <c r="P299" s="70">
        <v>1.8245943663999998E-2</v>
      </c>
      <c r="Q299" s="70">
        <v>0.79054003512999993</v>
      </c>
    </row>
    <row r="300" spans="3:17" ht="71.25">
      <c r="C300" s="321" t="s">
        <v>742</v>
      </c>
      <c r="D300" s="322"/>
      <c r="E300" s="783"/>
      <c r="F300" s="325"/>
      <c r="G300" s="319" t="str">
        <f>IFERROR(IF(E300="","",IF(F300="Direct-from-manufacturer",(E300*H300/1000*'Reporting Year &amp; Inflation Adj.'!$F$9),(E300*I300/1000*'Reporting Year &amp; Inflation Adj.'!$F$9))),"")</f>
        <v/>
      </c>
      <c r="H300" s="804">
        <v>7.4854993345000009E-2</v>
      </c>
      <c r="I300" s="805">
        <v>0.11184467555499999</v>
      </c>
      <c r="J300" s="806">
        <v>0.33044241852912942</v>
      </c>
      <c r="K300" s="68">
        <v>334418</v>
      </c>
      <c r="L300" s="68" t="s">
        <v>3605</v>
      </c>
      <c r="M300" s="69" t="s">
        <v>440</v>
      </c>
      <c r="N300" s="69" t="s">
        <v>739</v>
      </c>
      <c r="O300" s="70">
        <v>6.8991964189999991E-2</v>
      </c>
      <c r="P300" s="70">
        <v>3.2974296680000001E-2</v>
      </c>
      <c r="Q300" s="70">
        <v>0.10196279913000002</v>
      </c>
    </row>
    <row r="301" spans="3:17" ht="42.75">
      <c r="C301" s="321" t="s">
        <v>541</v>
      </c>
      <c r="D301" s="322"/>
      <c r="E301" s="783"/>
      <c r="F301" s="325"/>
      <c r="G301" s="319" t="str">
        <f>IFERROR(IF(E301="","",IF(F301="Direct-from-manufacturer",(E301*H301/1000*'Reporting Year &amp; Inflation Adj.'!$F$9),(E301*I301/1000*'Reporting Year &amp; Inflation Adj.'!$F$9))),"")</f>
        <v/>
      </c>
      <c r="H301" s="804">
        <v>0.19966070693999999</v>
      </c>
      <c r="I301" s="805">
        <v>0.22219662226999998</v>
      </c>
      <c r="J301" s="806">
        <v>0.10323620085964326</v>
      </c>
      <c r="K301" s="68">
        <v>323120</v>
      </c>
      <c r="L301" s="68" t="s">
        <v>3606</v>
      </c>
      <c r="M301" s="69" t="s">
        <v>440</v>
      </c>
      <c r="N301" s="69" t="s">
        <v>540</v>
      </c>
      <c r="O301" s="70">
        <v>0.21558926702</v>
      </c>
      <c r="P301" s="70">
        <v>2.2997494842399994E-2</v>
      </c>
      <c r="Q301" s="70">
        <v>0.23861667911999995</v>
      </c>
    </row>
    <row r="302" spans="3:17" ht="71.25">
      <c r="C302" s="321" t="s">
        <v>857</v>
      </c>
      <c r="D302" s="322"/>
      <c r="E302" s="783"/>
      <c r="F302" s="323" t="s">
        <v>366</v>
      </c>
      <c r="G302" s="319" t="str">
        <f>IFERROR(IF(E302="","",IF(F302="Direct-from-manufacturer",(E302*H302/1000*'Reporting Year &amp; Inflation Adj.'!$F$9),(E302*I302/1000*'Reporting Year &amp; Inflation Adj.'!$F$9))),"")</f>
        <v/>
      </c>
      <c r="H302" s="804">
        <v>6.8110736815000017E-2</v>
      </c>
      <c r="I302" s="805">
        <v>6.8110736815000017E-2</v>
      </c>
      <c r="J302" s="806">
        <v>0</v>
      </c>
      <c r="K302" s="68">
        <v>423400</v>
      </c>
      <c r="L302" s="68" t="s">
        <v>3607</v>
      </c>
      <c r="M302" s="69" t="s">
        <v>853</v>
      </c>
      <c r="N302" s="69" t="s">
        <v>859</v>
      </c>
      <c r="O302" s="70">
        <v>7.5213243720000017E-2</v>
      </c>
      <c r="P302" s="70">
        <v>0</v>
      </c>
      <c r="Q302" s="70">
        <v>7.5213243720000017E-2</v>
      </c>
    </row>
    <row r="303" spans="3:17" ht="270.75">
      <c r="C303" s="321" t="s">
        <v>1074</v>
      </c>
      <c r="D303" s="322"/>
      <c r="E303" s="783"/>
      <c r="F303" s="323" t="s">
        <v>366</v>
      </c>
      <c r="G303" s="319" t="str">
        <f>IFERROR(IF(E303="","",IF(F303="Direct-from-manufacturer",(E303*H303/1000*'Reporting Year &amp; Inflation Adj.'!$F$9),(E303*I303/1000*'Reporting Year &amp; Inflation Adj.'!$F$9))),"")</f>
        <v/>
      </c>
      <c r="H303" s="804">
        <v>7.6364759920000011E-2</v>
      </c>
      <c r="I303" s="805">
        <v>7.6364759920000011E-2</v>
      </c>
      <c r="J303" s="806">
        <v>0</v>
      </c>
      <c r="K303" s="68" t="s">
        <v>1075</v>
      </c>
      <c r="L303" s="68" t="s">
        <v>3608</v>
      </c>
      <c r="M303" s="69" t="s">
        <v>1071</v>
      </c>
      <c r="N303" s="69" t="s">
        <v>1076</v>
      </c>
      <c r="O303" s="70">
        <v>9.347348405600002E-2</v>
      </c>
      <c r="P303" s="70">
        <v>0</v>
      </c>
      <c r="Q303" s="70">
        <v>9.347348405600002E-2</v>
      </c>
    </row>
    <row r="304" spans="3:17" ht="85.5">
      <c r="C304" s="321" t="s">
        <v>806</v>
      </c>
      <c r="D304" s="322"/>
      <c r="E304" s="783"/>
      <c r="F304" s="325"/>
      <c r="G304" s="319" t="str">
        <f>IFERROR(IF(E304="","",IF(F304="Direct-from-manufacturer",(E304*H304/1000*'Reporting Year &amp; Inflation Adj.'!$F$9),(E304*I304/1000*'Reporting Year &amp; Inflation Adj.'!$F$9))),"")</f>
        <v/>
      </c>
      <c r="H304" s="804">
        <v>0.25144827287000004</v>
      </c>
      <c r="I304" s="805">
        <v>0.25949053658999999</v>
      </c>
      <c r="J304" s="806">
        <v>2.8743954804737338E-2</v>
      </c>
      <c r="K304" s="68" t="s">
        <v>807</v>
      </c>
      <c r="L304" s="68" t="s">
        <v>3609</v>
      </c>
      <c r="M304" s="69" t="s">
        <v>440</v>
      </c>
      <c r="N304" s="69" t="s">
        <v>802</v>
      </c>
      <c r="O304" s="70">
        <v>0.28799345346000005</v>
      </c>
      <c r="P304" s="70">
        <v>7.4908710909999997E-3</v>
      </c>
      <c r="Q304" s="70">
        <v>0.29516768837999996</v>
      </c>
    </row>
    <row r="305" spans="3:17" ht="42.75">
      <c r="C305" s="321" t="s">
        <v>919</v>
      </c>
      <c r="D305" s="322"/>
      <c r="E305" s="783"/>
      <c r="F305" s="323" t="s">
        <v>366</v>
      </c>
      <c r="G305" s="319" t="str">
        <f>IFERROR(IF(E305="","",IF(F305="Direct-from-manufacturer",(E305*H305/1000*'Reporting Year &amp; Inflation Adj.'!$F$9),(E305*I305/1000*'Reporting Year &amp; Inflation Adj.'!$F$9))),"")</f>
        <v/>
      </c>
      <c r="H305" s="804">
        <v>8.1403709529999993E-2</v>
      </c>
      <c r="I305" s="805">
        <v>8.1403709529999993E-2</v>
      </c>
      <c r="J305" s="806">
        <v>0</v>
      </c>
      <c r="K305" s="68">
        <v>515100</v>
      </c>
      <c r="L305" s="68" t="s">
        <v>3610</v>
      </c>
      <c r="M305" s="69" t="s">
        <v>904</v>
      </c>
      <c r="N305" s="69" t="s">
        <v>921</v>
      </c>
      <c r="O305" s="70">
        <v>8.1182284529999996E-2</v>
      </c>
      <c r="P305" s="70">
        <v>0</v>
      </c>
      <c r="Q305" s="70">
        <v>8.1182284529999996E-2</v>
      </c>
    </row>
    <row r="306" spans="3:17" ht="71.25">
      <c r="C306" s="321" t="s">
        <v>808</v>
      </c>
      <c r="D306" s="322"/>
      <c r="E306" s="783"/>
      <c r="F306" s="325"/>
      <c r="G306" s="319" t="str">
        <f>IFERROR(IF(E306="","",IF(F306="Direct-from-manufacturer",(E306*H306/1000*'Reporting Year &amp; Inflation Adj.'!$F$9),(E306*I306/1000*'Reporting Year &amp; Inflation Adj.'!$F$9))),"")</f>
        <v/>
      </c>
      <c r="H306" s="804">
        <v>0.36469741004000011</v>
      </c>
      <c r="I306" s="805">
        <v>0.39658558694000007</v>
      </c>
      <c r="J306" s="806">
        <v>7.8799036136499689E-2</v>
      </c>
      <c r="K306" s="68">
        <v>336500</v>
      </c>
      <c r="L306" s="68" t="s">
        <v>3611</v>
      </c>
      <c r="M306" s="69" t="s">
        <v>440</v>
      </c>
      <c r="N306" s="69" t="s">
        <v>810</v>
      </c>
      <c r="O306" s="70">
        <v>0.41443393199000006</v>
      </c>
      <c r="P306" s="70">
        <v>3.1586132583000005E-2</v>
      </c>
      <c r="Q306" s="70">
        <v>0.44590837721000004</v>
      </c>
    </row>
    <row r="307" spans="3:17" ht="42.75">
      <c r="C307" s="321" t="s">
        <v>605</v>
      </c>
      <c r="D307" s="322"/>
      <c r="E307" s="783"/>
      <c r="F307" s="325"/>
      <c r="G307" s="319" t="str">
        <f>IFERROR(IF(E307="","",IF(F307="Direct-from-manufacturer",(E307*H307/1000*'Reporting Year &amp; Inflation Adj.'!$F$9),(E307*I307/1000*'Reporting Year &amp; Inflation Adj.'!$F$9))),"")</f>
        <v/>
      </c>
      <c r="H307" s="804">
        <v>0.385232088275</v>
      </c>
      <c r="I307" s="805">
        <v>0.43835015037499997</v>
      </c>
      <c r="J307" s="806">
        <v>0.12255913970610099</v>
      </c>
      <c r="K307" s="68">
        <v>327320</v>
      </c>
      <c r="L307" s="68" t="s">
        <v>3612</v>
      </c>
      <c r="M307" s="69" t="s">
        <v>440</v>
      </c>
      <c r="N307" s="69" t="s">
        <v>604</v>
      </c>
      <c r="O307" s="70">
        <v>0.54032261407999993</v>
      </c>
      <c r="P307" s="70">
        <v>6.7210360769999991E-2</v>
      </c>
      <c r="Q307" s="70">
        <v>0.60802484657999989</v>
      </c>
    </row>
    <row r="308" spans="3:17" ht="57">
      <c r="C308" s="321" t="s">
        <v>448</v>
      </c>
      <c r="D308" s="322"/>
      <c r="E308" s="783"/>
      <c r="F308" s="325"/>
      <c r="G308" s="319" t="str">
        <f>IFERROR(IF(E308="","",IF(F308="Direct-from-manufacturer",(E308*H308/1000*'Reporting Year &amp; Inflation Adj.'!$F$9),(E308*I308/1000*'Reporting Year &amp; Inflation Adj.'!$F$9))),"")</f>
        <v/>
      </c>
      <c r="H308" s="804">
        <v>0.41315716136000002</v>
      </c>
      <c r="I308" s="805">
        <v>0.44192409436000007</v>
      </c>
      <c r="J308" s="806">
        <v>6.5831525857697734E-2</v>
      </c>
      <c r="K308" s="68">
        <v>311225</v>
      </c>
      <c r="L308" s="68" t="s">
        <v>3613</v>
      </c>
      <c r="M308" s="69" t="s">
        <v>440</v>
      </c>
      <c r="N308" s="69" t="s">
        <v>445</v>
      </c>
      <c r="O308" s="70">
        <v>0.36608846545000001</v>
      </c>
      <c r="P308" s="70">
        <v>2.5554933170000002E-2</v>
      </c>
      <c r="Q308" s="70">
        <v>0.39217908142000002</v>
      </c>
    </row>
    <row r="309" spans="3:17" ht="42.75">
      <c r="C309" s="321" t="s">
        <v>770</v>
      </c>
      <c r="D309" s="322"/>
      <c r="E309" s="783"/>
      <c r="F309" s="325"/>
      <c r="G309" s="319" t="str">
        <f>IFERROR(IF(E309="","",IF(F309="Direct-from-manufacturer",(E309*H309/1000*'Reporting Year &amp; Inflation Adj.'!$F$9),(E309*I309/1000*'Reporting Year &amp; Inflation Adj.'!$F$9))),"")</f>
        <v/>
      </c>
      <c r="H309" s="804">
        <v>0.10124125599999999</v>
      </c>
      <c r="I309" s="805">
        <v>0.11621965322</v>
      </c>
      <c r="J309" s="806">
        <v>0.13241895198971065</v>
      </c>
      <c r="K309" s="68">
        <v>335314</v>
      </c>
      <c r="L309" s="68" t="s">
        <v>3614</v>
      </c>
      <c r="M309" s="69" t="s">
        <v>440</v>
      </c>
      <c r="N309" s="69" t="s">
        <v>767</v>
      </c>
      <c r="O309" s="70">
        <v>0.12015783872999999</v>
      </c>
      <c r="P309" s="70">
        <v>1.846982682E-2</v>
      </c>
      <c r="Q309" s="70">
        <v>0.13861999466</v>
      </c>
    </row>
    <row r="310" spans="3:17" ht="57">
      <c r="C310" s="321" t="s">
        <v>1115</v>
      </c>
      <c r="D310" s="322"/>
      <c r="E310" s="783"/>
      <c r="F310" s="323" t="s">
        <v>366</v>
      </c>
      <c r="G310" s="319" t="str">
        <f>IFERROR(IF(E310="","",IF(F310="Direct-from-manufacturer",(E310*H310/1000*'Reporting Year &amp; Inflation Adj.'!$F$9),(E310*I310/1000*'Reporting Year &amp; Inflation Adj.'!$F$9))),"")</f>
        <v/>
      </c>
      <c r="H310" s="804">
        <v>6.6415149775000001E-2</v>
      </c>
      <c r="I310" s="805">
        <v>6.6415149775000001E-2</v>
      </c>
      <c r="J310" s="806">
        <v>0</v>
      </c>
      <c r="K310" s="68">
        <v>813100</v>
      </c>
      <c r="L310" s="68" t="s">
        <v>3615</v>
      </c>
      <c r="M310" s="69" t="s">
        <v>1098</v>
      </c>
      <c r="N310" s="69" t="s">
        <v>1116</v>
      </c>
      <c r="O310" s="70">
        <v>7.7163193484000012E-2</v>
      </c>
      <c r="P310" s="70">
        <v>0</v>
      </c>
      <c r="Q310" s="70">
        <v>7.7163193484000012E-2</v>
      </c>
    </row>
    <row r="311" spans="3:17" ht="30">
      <c r="C311" s="321" t="s">
        <v>400</v>
      </c>
      <c r="D311" s="322"/>
      <c r="E311" s="783"/>
      <c r="F311" s="323" t="s">
        <v>366</v>
      </c>
      <c r="G311" s="319" t="str">
        <f>IFERROR(IF(E311="","",IF(F311="Direct-from-manufacturer",(E311*H311/1000*'Reporting Year &amp; Inflation Adj.'!$F$9),(E311*I311/1000*'Reporting Year &amp; Inflation Adj.'!$F$9))),"")</f>
        <v/>
      </c>
      <c r="H311" s="804">
        <v>0.199103038155</v>
      </c>
      <c r="I311" s="805">
        <v>0.199103038155</v>
      </c>
      <c r="J311" s="806">
        <v>0</v>
      </c>
      <c r="K311" s="68">
        <v>230302</v>
      </c>
      <c r="L311" s="68" t="s">
        <v>3616</v>
      </c>
      <c r="M311" s="69" t="s">
        <v>397</v>
      </c>
      <c r="N311" s="69" t="s">
        <v>398</v>
      </c>
      <c r="O311" s="70">
        <v>0.21258245153999999</v>
      </c>
      <c r="P311" s="70">
        <v>0</v>
      </c>
      <c r="Q311" s="70">
        <v>0.21258245153999999</v>
      </c>
    </row>
    <row r="312" spans="3:17" ht="199.5">
      <c r="C312" s="321" t="s">
        <v>1060</v>
      </c>
      <c r="D312" s="322"/>
      <c r="E312" s="783"/>
      <c r="F312" s="323" t="s">
        <v>366</v>
      </c>
      <c r="G312" s="319" t="str">
        <f>IFERROR(IF(E312="","",IF(F312="Direct-from-manufacturer",(E312*H312/1000*'Reporting Year &amp; Inflation Adj.'!$F$9),(E312*I312/1000*'Reporting Year &amp; Inflation Adj.'!$F$9))),"")</f>
        <v/>
      </c>
      <c r="H312" s="804">
        <v>0.115449914855</v>
      </c>
      <c r="I312" s="805">
        <v>0.115449914855</v>
      </c>
      <c r="J312" s="806">
        <v>0</v>
      </c>
      <c r="K312" s="68" t="s">
        <v>1061</v>
      </c>
      <c r="L312" s="68" t="s">
        <v>3387</v>
      </c>
      <c r="M312" s="69" t="s">
        <v>1038</v>
      </c>
      <c r="N312" s="69" t="s">
        <v>1062</v>
      </c>
      <c r="O312" s="70">
        <v>0.13192559332399997</v>
      </c>
      <c r="P312" s="70">
        <v>0</v>
      </c>
      <c r="Q312" s="70">
        <v>0.13192559332399997</v>
      </c>
    </row>
    <row r="313" spans="3:17" ht="57">
      <c r="C313" s="321" t="s">
        <v>594</v>
      </c>
      <c r="D313" s="322"/>
      <c r="E313" s="783"/>
      <c r="F313" s="325"/>
      <c r="G313" s="319" t="str">
        <f>IFERROR(IF(E313="","",IF(F313="Direct-from-manufacturer",(E313*H313/1000*'Reporting Year &amp; Inflation Adj.'!$F$9),(E313*I313/1000*'Reporting Year &amp; Inflation Adj.'!$F$9))),"")</f>
        <v/>
      </c>
      <c r="H313" s="804">
        <v>0.25341746737999998</v>
      </c>
      <c r="I313" s="805">
        <v>0.28073223889999999</v>
      </c>
      <c r="J313" s="806">
        <v>9.445939073084493E-2</v>
      </c>
      <c r="K313" s="68">
        <v>326220</v>
      </c>
      <c r="L313" s="68" t="s">
        <v>3617</v>
      </c>
      <c r="M313" s="69" t="s">
        <v>440</v>
      </c>
      <c r="N313" s="69" t="s">
        <v>593</v>
      </c>
      <c r="O313" s="70">
        <v>0.28222707252000007</v>
      </c>
      <c r="P313" s="70">
        <v>2.8248525270000005E-2</v>
      </c>
      <c r="Q313" s="70">
        <v>0.31099099503999994</v>
      </c>
    </row>
    <row r="314" spans="3:17" ht="28.5">
      <c r="C314" s="321" t="s">
        <v>591</v>
      </c>
      <c r="D314" s="322"/>
      <c r="E314" s="783"/>
      <c r="F314" s="325"/>
      <c r="G314" s="319" t="str">
        <f>IFERROR(IF(E314="","",IF(F314="Direct-from-manufacturer",(E314*H314/1000*'Reporting Year &amp; Inflation Adj.'!$F$9),(E314*I314/1000*'Reporting Year &amp; Inflation Adj.'!$F$9))),"")</f>
        <v/>
      </c>
      <c r="H314" s="804">
        <v>0.19359245234499994</v>
      </c>
      <c r="I314" s="805">
        <v>0.23037858969000002</v>
      </c>
      <c r="J314" s="806">
        <v>0.15878338329626399</v>
      </c>
      <c r="K314" s="68">
        <v>326210</v>
      </c>
      <c r="L314" s="68" t="s">
        <v>3618</v>
      </c>
      <c r="M314" s="69" t="s">
        <v>440</v>
      </c>
      <c r="N314" s="69" t="s">
        <v>593</v>
      </c>
      <c r="O314" s="70">
        <v>0.23474037034000003</v>
      </c>
      <c r="P314" s="70">
        <v>4.3445601030000003E-2</v>
      </c>
      <c r="Q314" s="70">
        <v>0.27769541165</v>
      </c>
    </row>
    <row r="315" spans="3:17" ht="28.5">
      <c r="C315" s="321" t="s">
        <v>1107</v>
      </c>
      <c r="D315" s="322"/>
      <c r="E315" s="783"/>
      <c r="F315" s="323" t="s">
        <v>366</v>
      </c>
      <c r="G315" s="319" t="str">
        <f>IFERROR(IF(E315="","",IF(F315="Direct-from-manufacturer",(E315*H315/1000*'Reporting Year &amp; Inflation Adj.'!$F$9),(E315*I315/1000*'Reporting Year &amp; Inflation Adj.'!$F$9))),"")</f>
        <v/>
      </c>
      <c r="H315" s="804">
        <v>0.10845984180000001</v>
      </c>
      <c r="I315" s="805">
        <v>0.10845984180000001</v>
      </c>
      <c r="J315" s="806">
        <v>0</v>
      </c>
      <c r="K315" s="68">
        <v>812100</v>
      </c>
      <c r="L315" s="68" t="s">
        <v>3619</v>
      </c>
      <c r="M315" s="69" t="s">
        <v>1098</v>
      </c>
      <c r="N315" s="69" t="s">
        <v>1108</v>
      </c>
      <c r="O315" s="70">
        <v>0.12661651209999999</v>
      </c>
      <c r="P315" s="70">
        <v>0</v>
      </c>
      <c r="Q315" s="70">
        <v>0.12661651209999999</v>
      </c>
    </row>
    <row r="316" spans="3:17" ht="199.5">
      <c r="C316" s="321" t="s">
        <v>383</v>
      </c>
      <c r="D316" s="322"/>
      <c r="E316" s="783"/>
      <c r="F316" s="325"/>
      <c r="G316" s="319" t="str">
        <f>IFERROR(IF(E316="","",IF(F316="Direct-from-manufacturer",(E316*H316/1000*'Reporting Year &amp; Inflation Adj.'!$F$9),(E316*I316/1000*'Reporting Year &amp; Inflation Adj.'!$F$9))),"")</f>
        <v/>
      </c>
      <c r="H316" s="804">
        <v>0.15494301827499998</v>
      </c>
      <c r="I316" s="805">
        <v>0.27599302729499997</v>
      </c>
      <c r="J316" s="806">
        <v>0.43852533506447994</v>
      </c>
      <c r="K316" s="68" t="s">
        <v>384</v>
      </c>
      <c r="L316" s="68" t="s">
        <v>3620</v>
      </c>
      <c r="M316" s="69" t="s">
        <v>371</v>
      </c>
      <c r="N316" s="69" t="s">
        <v>382</v>
      </c>
      <c r="O316" s="70">
        <v>0.18443338910000001</v>
      </c>
      <c r="P316" s="70">
        <v>0.12603326486999999</v>
      </c>
      <c r="Q316" s="70">
        <v>0.31149319929000008</v>
      </c>
    </row>
    <row r="317" spans="3:17" ht="42.75">
      <c r="C317" s="321" t="s">
        <v>536</v>
      </c>
      <c r="D317" s="322"/>
      <c r="E317" s="783"/>
      <c r="F317" s="325"/>
      <c r="G317" s="319" t="str">
        <f>IFERROR(IF(E317="","",IF(F317="Direct-from-manufacturer",(E317*H317/1000*'Reporting Year &amp; Inflation Adj.'!$F$9),(E317*I317/1000*'Reporting Year &amp; Inflation Adj.'!$F$9))),"")</f>
        <v/>
      </c>
      <c r="H317" s="804">
        <v>0.27202439321000005</v>
      </c>
      <c r="I317" s="805">
        <v>0.33189288315999993</v>
      </c>
      <c r="J317" s="806">
        <v>0.17978848936701619</v>
      </c>
      <c r="K317" s="68">
        <v>322291</v>
      </c>
      <c r="L317" s="68" t="s">
        <v>3621</v>
      </c>
      <c r="M317" s="69" t="s">
        <v>440</v>
      </c>
      <c r="N317" s="69" t="s">
        <v>533</v>
      </c>
      <c r="O317" s="70">
        <v>0.27692581413000006</v>
      </c>
      <c r="P317" s="70">
        <v>6.5279433380000015E-2</v>
      </c>
      <c r="Q317" s="70">
        <v>0.34168785508999994</v>
      </c>
    </row>
    <row r="318" spans="3:17" ht="213.75">
      <c r="C318" s="321" t="s">
        <v>930</v>
      </c>
      <c r="D318" s="322"/>
      <c r="E318" s="783"/>
      <c r="F318" s="323" t="s">
        <v>366</v>
      </c>
      <c r="G318" s="319" t="str">
        <f>IFERROR(IF(E318="","",IF(F318="Direct-from-manufacturer",(E318*H318/1000*'Reporting Year &amp; Inflation Adj.'!$F$9),(E318*I318/1000*'Reporting Year &amp; Inflation Adj.'!$F$9))),"")</f>
        <v/>
      </c>
      <c r="H318" s="804">
        <v>7.1494849764999993E-2</v>
      </c>
      <c r="I318" s="805">
        <v>7.1494849764999993E-2</v>
      </c>
      <c r="J318" s="806">
        <v>0</v>
      </c>
      <c r="K318" s="68" t="s">
        <v>931</v>
      </c>
      <c r="L318" s="68" t="s">
        <v>3622</v>
      </c>
      <c r="M318" s="69" t="s">
        <v>904</v>
      </c>
      <c r="N318" s="69" t="s">
        <v>932</v>
      </c>
      <c r="O318" s="70">
        <v>7.857133401999998E-2</v>
      </c>
      <c r="P318" s="70">
        <v>0</v>
      </c>
      <c r="Q318" s="70">
        <v>7.857133401999998E-2</v>
      </c>
    </row>
    <row r="319" spans="3:17" ht="71.25">
      <c r="C319" s="321" t="s">
        <v>23</v>
      </c>
      <c r="D319" s="322"/>
      <c r="E319" s="783"/>
      <c r="F319" s="323" t="s">
        <v>366</v>
      </c>
      <c r="G319" s="319" t="str">
        <f>IFERROR(IF(E319="","",IF(F319="Direct-from-manufacturer",(E319*H319/1000*'Reporting Year &amp; Inflation Adj.'!$F$9),(E319*I319/1000*'Reporting Year &amp; Inflation Adj.'!$F$9))),"")</f>
        <v/>
      </c>
      <c r="H319" s="804">
        <v>0.14446141444999999</v>
      </c>
      <c r="I319" s="805">
        <v>0.14446141444999999</v>
      </c>
      <c r="J319" s="806">
        <v>0</v>
      </c>
      <c r="K319" s="68">
        <v>541700</v>
      </c>
      <c r="L319" s="68" t="s">
        <v>3623</v>
      </c>
      <c r="M319" s="69" t="s">
        <v>981</v>
      </c>
      <c r="N319" s="69" t="s">
        <v>1650</v>
      </c>
      <c r="O319" s="70">
        <v>0.15820628903999998</v>
      </c>
      <c r="P319" s="70">
        <v>0</v>
      </c>
      <c r="Q319" s="70">
        <v>0.15820628903999998</v>
      </c>
    </row>
    <row r="320" spans="3:17" ht="57">
      <c r="C320" s="321" t="s">
        <v>665</v>
      </c>
      <c r="D320" s="322"/>
      <c r="E320" s="783"/>
      <c r="F320" s="325"/>
      <c r="G320" s="319" t="str">
        <f>IFERROR(IF(E320="","",IF(F320="Direct-from-manufacturer",(E320*H320/1000*'Reporting Year &amp; Inflation Adj.'!$F$9),(E320*I320/1000*'Reporting Year &amp; Inflation Adj.'!$F$9))),"")</f>
        <v/>
      </c>
      <c r="H320" s="804">
        <v>0.18386147517499998</v>
      </c>
      <c r="I320" s="805">
        <v>0.20641237660500003</v>
      </c>
      <c r="J320" s="806">
        <v>0.10974550364947092</v>
      </c>
      <c r="K320" s="68">
        <v>332720</v>
      </c>
      <c r="L320" s="68" t="s">
        <v>3624</v>
      </c>
      <c r="M320" s="69" t="s">
        <v>440</v>
      </c>
      <c r="N320" s="69" t="s">
        <v>664</v>
      </c>
      <c r="O320" s="70">
        <v>0.22279828508999999</v>
      </c>
      <c r="P320" s="70">
        <v>2.6651160540000007E-2</v>
      </c>
      <c r="Q320" s="70">
        <v>0.24924633873999999</v>
      </c>
    </row>
    <row r="321" spans="3:17" ht="85.5">
      <c r="C321" s="321" t="s">
        <v>469</v>
      </c>
      <c r="D321" s="322"/>
      <c r="E321" s="783"/>
      <c r="F321" s="325"/>
      <c r="G321" s="319" t="str">
        <f>IFERROR(IF(E321="","",IF(F321="Direct-from-manufacturer",(E321*H321/1000*'Reporting Year &amp; Inflation Adj.'!$F$9),(E321*I321/1000*'Reporting Year &amp; Inflation Adj.'!$F$9))),"")</f>
        <v/>
      </c>
      <c r="H321" s="804">
        <v>0.24123004120000002</v>
      </c>
      <c r="I321" s="805">
        <v>0.26730087316500001</v>
      </c>
      <c r="J321" s="806">
        <v>9.8359164052452389E-2</v>
      </c>
      <c r="K321" s="68">
        <v>311700</v>
      </c>
      <c r="L321" s="68" t="s">
        <v>3625</v>
      </c>
      <c r="M321" s="69" t="s">
        <v>440</v>
      </c>
      <c r="N321" s="69" t="s">
        <v>471</v>
      </c>
      <c r="O321" s="70">
        <v>0.24211876826599998</v>
      </c>
      <c r="P321" s="70">
        <v>2.7034874819999999E-2</v>
      </c>
      <c r="Q321" s="70">
        <v>0.26924377116999998</v>
      </c>
    </row>
    <row r="322" spans="3:17" ht="99.75">
      <c r="C322" s="321" t="s">
        <v>482</v>
      </c>
      <c r="D322" s="322"/>
      <c r="E322" s="783"/>
      <c r="F322" s="325"/>
      <c r="G322" s="319" t="str">
        <f>IFERROR(IF(E322="","",IF(F322="Direct-from-manufacturer",(E322*H322/1000*'Reporting Year &amp; Inflation Adj.'!$F$9),(E322*I322/1000*'Reporting Year &amp; Inflation Adj.'!$F$9))),"")</f>
        <v/>
      </c>
      <c r="H322" s="804">
        <v>0.25757074859000001</v>
      </c>
      <c r="I322" s="805">
        <v>0.29299504563000001</v>
      </c>
      <c r="J322" s="806">
        <v>0.1217814994901284</v>
      </c>
      <c r="K322" s="68">
        <v>311940</v>
      </c>
      <c r="L322" s="68" t="s">
        <v>3626</v>
      </c>
      <c r="M322" s="69" t="s">
        <v>440</v>
      </c>
      <c r="N322" s="69" t="s">
        <v>479</v>
      </c>
      <c r="O322" s="70">
        <v>0.30880552889000012</v>
      </c>
      <c r="P322" s="70">
        <v>4.0835578340000005E-2</v>
      </c>
      <c r="Q322" s="70">
        <v>0.34950990846999991</v>
      </c>
    </row>
    <row r="323" spans="3:17" ht="156.75">
      <c r="C323" s="321" t="s">
        <v>627</v>
      </c>
      <c r="D323" s="322"/>
      <c r="E323" s="783"/>
      <c r="F323" s="325"/>
      <c r="G323" s="319" t="str">
        <f>IFERROR(IF(E323="","",IF(F323="Direct-from-manufacturer",(E323*H323/1000*'Reporting Year &amp; Inflation Adj.'!$F$9),(E323*I323/1000*'Reporting Year &amp; Inflation Adj.'!$F$9))),"")</f>
        <v/>
      </c>
      <c r="H323" s="804">
        <v>0.76708773340499992</v>
      </c>
      <c r="I323" s="805">
        <v>0.79138941594999979</v>
      </c>
      <c r="J323" s="806">
        <v>3.0124676707208135E-2</v>
      </c>
      <c r="K323" s="68" t="s">
        <v>628</v>
      </c>
      <c r="L323" s="68" t="s">
        <v>3627</v>
      </c>
      <c r="M323" s="69" t="s">
        <v>440</v>
      </c>
      <c r="N323" s="69" t="s">
        <v>626</v>
      </c>
      <c r="O323" s="70">
        <v>0.70626089218999999</v>
      </c>
      <c r="P323" s="70">
        <v>2.1201341824999997E-2</v>
      </c>
      <c r="Q323" s="70">
        <v>0.72777907005999998</v>
      </c>
    </row>
    <row r="324" spans="3:17" ht="71.25">
      <c r="C324" s="321" t="s">
        <v>632</v>
      </c>
      <c r="D324" s="322"/>
      <c r="E324" s="783"/>
      <c r="F324" s="325"/>
      <c r="G324" s="319" t="str">
        <f>IFERROR(IF(E324="","",IF(F324="Direct-from-manufacturer",(E324*H324/1000*'Reporting Year &amp; Inflation Adj.'!$F$9),(E324*I324/1000*'Reporting Year &amp; Inflation Adj.'!$F$9))),"")</f>
        <v/>
      </c>
      <c r="H324" s="804">
        <v>0.31782797721499995</v>
      </c>
      <c r="I324" s="805">
        <v>0.33641808841000004</v>
      </c>
      <c r="J324" s="806">
        <v>5.3667173115841682E-2</v>
      </c>
      <c r="K324" s="68">
        <v>331420</v>
      </c>
      <c r="L324" s="68" t="s">
        <v>3628</v>
      </c>
      <c r="M324" s="69" t="s">
        <v>440</v>
      </c>
      <c r="N324" s="69" t="s">
        <v>631</v>
      </c>
      <c r="O324" s="70">
        <v>0.31700213457000004</v>
      </c>
      <c r="P324" s="70">
        <v>1.8743245710000002E-2</v>
      </c>
      <c r="Q324" s="70">
        <v>0.33595611052999996</v>
      </c>
    </row>
    <row r="325" spans="3:17" ht="42.75">
      <c r="C325" s="321" t="s">
        <v>621</v>
      </c>
      <c r="D325" s="322"/>
      <c r="E325" s="783"/>
      <c r="F325" s="325"/>
      <c r="G325" s="319" t="str">
        <f>IFERROR(IF(E325="","",IF(F325="Direct-from-manufacturer",(E325*H325/1000*'Reporting Year &amp; Inflation Adj.'!$F$9),(E325*I325/1000*'Reporting Year &amp; Inflation Adj.'!$F$9))),"")</f>
        <v/>
      </c>
      <c r="H325" s="804">
        <v>0.37400579378000004</v>
      </c>
      <c r="I325" s="805">
        <v>0.39284536914500001</v>
      </c>
      <c r="J325" s="806">
        <v>4.9729318223907186E-2</v>
      </c>
      <c r="K325" s="68">
        <v>331200</v>
      </c>
      <c r="L325" s="68" t="s">
        <v>3629</v>
      </c>
      <c r="M325" s="69" t="s">
        <v>440</v>
      </c>
      <c r="N325" s="69" t="s">
        <v>623</v>
      </c>
      <c r="O325" s="70">
        <v>0.34387831744999997</v>
      </c>
      <c r="P325" s="70">
        <v>1.6913450738999997E-2</v>
      </c>
      <c r="Q325" s="70">
        <v>0.36146774197000003</v>
      </c>
    </row>
    <row r="326" spans="3:17" ht="99.75">
      <c r="C326" s="321" t="s">
        <v>948</v>
      </c>
      <c r="D326" s="322"/>
      <c r="E326" s="783"/>
      <c r="F326" s="323" t="s">
        <v>366</v>
      </c>
      <c r="G326" s="319" t="str">
        <f>IFERROR(IF(E326="","",IF(F326="Direct-from-manufacturer",(E326*H326/1000*'Reporting Year &amp; Inflation Adj.'!$F$9),(E326*I326/1000*'Reporting Year &amp; Inflation Adj.'!$F$9))),"")</f>
        <v/>
      </c>
      <c r="H326" s="804">
        <v>3.7843715799999997E-2</v>
      </c>
      <c r="I326" s="805">
        <v>3.7843715799999997E-2</v>
      </c>
      <c r="J326" s="806">
        <v>0</v>
      </c>
      <c r="K326" s="68" t="s">
        <v>949</v>
      </c>
      <c r="L326" s="68" t="s">
        <v>3630</v>
      </c>
      <c r="M326" s="69" t="s">
        <v>943</v>
      </c>
      <c r="N326" s="69" t="s">
        <v>950</v>
      </c>
      <c r="O326" s="70">
        <v>4.3303427972E-2</v>
      </c>
      <c r="P326" s="70">
        <v>0</v>
      </c>
      <c r="Q326" s="70">
        <v>4.3303427972E-2</v>
      </c>
    </row>
    <row r="327" spans="3:17" ht="42.75">
      <c r="C327" s="321" t="s">
        <v>688</v>
      </c>
      <c r="D327" s="322"/>
      <c r="E327" s="783"/>
      <c r="F327" s="325"/>
      <c r="G327" s="319" t="str">
        <f>IFERROR(IF(E327="","",IF(F327="Direct-from-manufacturer",(E327*H327/1000*'Reporting Year &amp; Inflation Adj.'!$F$9),(E327*I327/1000*'Reporting Year &amp; Inflation Adj.'!$F$9))),"")</f>
        <v/>
      </c>
      <c r="H327" s="804">
        <v>0.11586878079499999</v>
      </c>
      <c r="I327" s="805">
        <v>0.13366218905000002</v>
      </c>
      <c r="J327" s="806">
        <v>0.13455221557289018</v>
      </c>
      <c r="K327" s="68">
        <v>333242</v>
      </c>
      <c r="L327" s="68" t="s">
        <v>3631</v>
      </c>
      <c r="M327" s="69" t="s">
        <v>440</v>
      </c>
      <c r="N327" s="69" t="s">
        <v>687</v>
      </c>
      <c r="O327" s="70">
        <v>0.13155034077000002</v>
      </c>
      <c r="P327" s="70">
        <v>2.0184457319999998E-2</v>
      </c>
      <c r="Q327" s="70">
        <v>0.15094020688000001</v>
      </c>
    </row>
    <row r="328" spans="3:17" ht="57">
      <c r="C328" s="321" t="s">
        <v>740</v>
      </c>
      <c r="D328" s="322"/>
      <c r="E328" s="783"/>
      <c r="F328" s="325"/>
      <c r="G328" s="319" t="str">
        <f>IFERROR(IF(E328="","",IF(F328="Direct-from-manufacturer",(E328*H328/1000*'Reporting Year &amp; Inflation Adj.'!$F$9),(E328*I328/1000*'Reporting Year &amp; Inflation Adj.'!$F$9))),"")</f>
        <v/>
      </c>
      <c r="H328" s="804">
        <v>0.17894751290000002</v>
      </c>
      <c r="I328" s="805">
        <v>0.20616808105000001</v>
      </c>
      <c r="J328" s="806">
        <v>0.13268080156096501</v>
      </c>
      <c r="K328" s="68">
        <v>334413</v>
      </c>
      <c r="L328" s="68" t="s">
        <v>3632</v>
      </c>
      <c r="M328" s="69" t="s">
        <v>440</v>
      </c>
      <c r="N328" s="69" t="s">
        <v>739</v>
      </c>
      <c r="O328" s="70">
        <v>0.19313321034000003</v>
      </c>
      <c r="P328" s="70">
        <v>2.7888705189999998E-2</v>
      </c>
      <c r="Q328" s="70">
        <v>0.22072433416000001</v>
      </c>
    </row>
    <row r="329" spans="3:17" ht="42.75">
      <c r="C329" s="321" t="s">
        <v>831</v>
      </c>
      <c r="D329" s="322"/>
      <c r="E329" s="783"/>
      <c r="F329" s="325"/>
      <c r="G329" s="319" t="str">
        <f>IFERROR(IF(E329="","",IF(F329="Direct-from-manufacturer",(E329*H329/1000*'Reporting Year &amp; Inflation Adj.'!$F$9),(E329*I329/1000*'Reporting Year &amp; Inflation Adj.'!$F$9))),"")</f>
        <v/>
      </c>
      <c r="H329" s="804">
        <v>0.19042906213499999</v>
      </c>
      <c r="I329" s="805">
        <v>0.22953425472499997</v>
      </c>
      <c r="J329" s="806">
        <v>0.17343773983841926</v>
      </c>
      <c r="K329" s="68">
        <v>337215</v>
      </c>
      <c r="L329" s="68" t="s">
        <v>3633</v>
      </c>
      <c r="M329" s="69" t="s">
        <v>440</v>
      </c>
      <c r="N329" s="69" t="s">
        <v>830</v>
      </c>
      <c r="O329" s="70">
        <v>0.20780614905</v>
      </c>
      <c r="P329" s="70">
        <v>4.0220665199999998E-2</v>
      </c>
      <c r="Q329" s="70">
        <v>0.24761506733000005</v>
      </c>
    </row>
    <row r="330" spans="3:17" ht="85.5">
      <c r="C330" s="321" t="s">
        <v>811</v>
      </c>
      <c r="D330" s="322"/>
      <c r="E330" s="783"/>
      <c r="F330" s="325"/>
      <c r="G330" s="319" t="str">
        <f>IFERROR(IF(E330="","",IF(F330="Direct-from-manufacturer",(E330*H330/1000*'Reporting Year &amp; Inflation Adj.'!$F$9),(E330*I330/1000*'Reporting Year &amp; Inflation Adj.'!$F$9))),"")</f>
        <v/>
      </c>
      <c r="H330" s="804">
        <v>0.17359843200499997</v>
      </c>
      <c r="I330" s="805">
        <v>0.181695725255</v>
      </c>
      <c r="J330" s="806">
        <v>4.4125099009611264E-2</v>
      </c>
      <c r="K330" s="68">
        <v>336611</v>
      </c>
      <c r="L330" s="68" t="s">
        <v>3634</v>
      </c>
      <c r="M330" s="69" t="s">
        <v>440</v>
      </c>
      <c r="N330" s="69" t="s">
        <v>813</v>
      </c>
      <c r="O330" s="70">
        <v>0.18831353233000003</v>
      </c>
      <c r="P330" s="70">
        <v>8.2884800729999993E-3</v>
      </c>
      <c r="Q330" s="70">
        <v>0.19654816274</v>
      </c>
    </row>
    <row r="331" spans="3:17" ht="71.25">
      <c r="C331" s="321" t="s">
        <v>750</v>
      </c>
      <c r="D331" s="322"/>
      <c r="E331" s="783"/>
      <c r="F331" s="325"/>
      <c r="G331" s="319" t="str">
        <f>IFERROR(IF(E331="","",IF(F331="Direct-from-manufacturer",(E331*H331/1000*'Reporting Year &amp; Inflation Adj.'!$F$9),(E331*I331/1000*'Reporting Year &amp; Inflation Adj.'!$F$9))),"")</f>
        <v/>
      </c>
      <c r="H331" s="804">
        <v>5.0179844224999999E-2</v>
      </c>
      <c r="I331" s="805">
        <v>7.2443507439999999E-2</v>
      </c>
      <c r="J331" s="806">
        <v>0.30710196926102895</v>
      </c>
      <c r="K331" s="68">
        <v>334515</v>
      </c>
      <c r="L331" s="68" t="s">
        <v>3635</v>
      </c>
      <c r="M331" s="69" t="s">
        <v>440</v>
      </c>
      <c r="N331" s="69" t="s">
        <v>745</v>
      </c>
      <c r="O331" s="70">
        <v>5.5888787369999998E-2</v>
      </c>
      <c r="P331" s="70">
        <v>2.4269926989999992E-2</v>
      </c>
      <c r="Q331" s="70">
        <v>8.014884186E-2</v>
      </c>
    </row>
    <row r="332" spans="3:17" ht="42.75">
      <c r="C332" s="321" t="s">
        <v>849</v>
      </c>
      <c r="D332" s="322"/>
      <c r="E332" s="783"/>
      <c r="F332" s="325"/>
      <c r="G332" s="319" t="str">
        <f>IFERROR(IF(E332="","",IF(F332="Direct-from-manufacturer",(E332*H332/1000*'Reporting Year &amp; Inflation Adj.'!$F$9),(E332*I332/1000*'Reporting Year &amp; Inflation Adj.'!$F$9))),"")</f>
        <v/>
      </c>
      <c r="H332" s="804">
        <v>0.1502348379</v>
      </c>
      <c r="I332" s="805">
        <v>0.20550840404999995</v>
      </c>
      <c r="J332" s="806">
        <v>0.26750122784090596</v>
      </c>
      <c r="K332" s="68">
        <v>339950</v>
      </c>
      <c r="L332" s="68" t="s">
        <v>3636</v>
      </c>
      <c r="M332" s="69" t="s">
        <v>440</v>
      </c>
      <c r="N332" s="69" t="s">
        <v>845</v>
      </c>
      <c r="O332" s="70">
        <v>0.18868030039000003</v>
      </c>
      <c r="P332" s="70">
        <v>6.3338243379999992E-2</v>
      </c>
      <c r="Q332" s="70">
        <v>0.25110568018000001</v>
      </c>
    </row>
    <row r="333" spans="3:17" ht="28.5">
      <c r="C333" s="321" t="s">
        <v>396</v>
      </c>
      <c r="D333" s="322"/>
      <c r="E333" s="783"/>
      <c r="F333" s="323" t="s">
        <v>366</v>
      </c>
      <c r="G333" s="319" t="str">
        <f>IFERROR(IF(E333="","",IF(F333="Direct-from-manufacturer",(E333*H333/1000*'Reporting Year &amp; Inflation Adj.'!$F$9),(E333*I333/1000*'Reporting Year &amp; Inflation Adj.'!$F$9))),"")</f>
        <v/>
      </c>
      <c r="H333" s="804">
        <v>0.17577831377000003</v>
      </c>
      <c r="I333" s="805">
        <v>0.17577831377000003</v>
      </c>
      <c r="J333" s="806">
        <v>0</v>
      </c>
      <c r="K333" s="68">
        <v>233411</v>
      </c>
      <c r="L333" s="68" t="s">
        <v>3637</v>
      </c>
      <c r="M333" s="69" t="s">
        <v>397</v>
      </c>
      <c r="N333" s="69" t="s">
        <v>398</v>
      </c>
      <c r="O333" s="70">
        <v>0.19466775624999999</v>
      </c>
      <c r="P333" s="70">
        <v>0</v>
      </c>
      <c r="Q333" s="70">
        <v>0.19466775624999999</v>
      </c>
    </row>
    <row r="334" spans="3:17" ht="42.75">
      <c r="C334" s="321" t="s">
        <v>762</v>
      </c>
      <c r="D334" s="322"/>
      <c r="E334" s="783"/>
      <c r="F334" s="325"/>
      <c r="G334" s="319" t="str">
        <f>IFERROR(IF(E334="","",IF(F334="Direct-from-manufacturer",(E334*H334/1000*'Reporting Year &amp; Inflation Adj.'!$F$9),(E334*I334/1000*'Reporting Year &amp; Inflation Adj.'!$F$9))),"")</f>
        <v/>
      </c>
      <c r="H334" s="804">
        <v>9.6044082635000028E-2</v>
      </c>
      <c r="I334" s="805">
        <v>0.14624881850000004</v>
      </c>
      <c r="J334" s="806">
        <v>0.33957151828204341</v>
      </c>
      <c r="K334" s="68">
        <v>335210</v>
      </c>
      <c r="L334" s="68" t="s">
        <v>3638</v>
      </c>
      <c r="M334" s="69" t="s">
        <v>440</v>
      </c>
      <c r="N334" s="69" t="s">
        <v>764</v>
      </c>
      <c r="O334" s="70">
        <v>0.10672150632999999</v>
      </c>
      <c r="P334" s="70">
        <v>5.1653949490000003E-2</v>
      </c>
      <c r="Q334" s="70">
        <v>0.15875794962000001</v>
      </c>
    </row>
    <row r="335" spans="3:17" ht="99.75">
      <c r="C335" s="321" t="s">
        <v>477</v>
      </c>
      <c r="D335" s="322"/>
      <c r="E335" s="783"/>
      <c r="F335" s="325"/>
      <c r="G335" s="319" t="str">
        <f>IFERROR(IF(E335="","",IF(F335="Direct-from-manufacturer",(E335*H335/1000*'Reporting Year &amp; Inflation Adj.'!$F$9),(E335*I335/1000*'Reporting Year &amp; Inflation Adj.'!$F$9))),"")</f>
        <v/>
      </c>
      <c r="H335" s="804">
        <v>0.25900447280000005</v>
      </c>
      <c r="I335" s="805">
        <v>0.29359258725000004</v>
      </c>
      <c r="J335" s="806">
        <v>0.12041202545722654</v>
      </c>
      <c r="K335" s="68">
        <v>311910</v>
      </c>
      <c r="L335" s="68" t="s">
        <v>3639</v>
      </c>
      <c r="M335" s="69" t="s">
        <v>440</v>
      </c>
      <c r="N335" s="69" t="s">
        <v>479</v>
      </c>
      <c r="O335" s="70">
        <v>0.33439815518999999</v>
      </c>
      <c r="P335" s="70">
        <v>4.3979837639999998E-2</v>
      </c>
      <c r="Q335" s="70">
        <v>0.37825934170999997</v>
      </c>
    </row>
    <row r="336" spans="3:17" ht="57">
      <c r="C336" s="321" t="s">
        <v>573</v>
      </c>
      <c r="D336" s="322"/>
      <c r="E336" s="783"/>
      <c r="F336" s="325"/>
      <c r="G336" s="319" t="str">
        <f>IFERROR(IF(E336="","",IF(F336="Direct-from-manufacturer",(E336*H336/1000*'Reporting Year &amp; Inflation Adj.'!$F$9),(E336*I336/1000*'Reporting Year &amp; Inflation Adj.'!$F$9))),"")</f>
        <v/>
      </c>
      <c r="H336" s="804">
        <v>0.2559034811</v>
      </c>
      <c r="I336" s="805">
        <v>0.2912554255</v>
      </c>
      <c r="J336" s="806">
        <v>0.12186325636361409</v>
      </c>
      <c r="K336" s="68">
        <v>325610</v>
      </c>
      <c r="L336" s="68" t="s">
        <v>3640</v>
      </c>
      <c r="M336" s="69" t="s">
        <v>440</v>
      </c>
      <c r="N336" s="69" t="s">
        <v>575</v>
      </c>
      <c r="O336" s="70">
        <v>0.32500165347999999</v>
      </c>
      <c r="P336" s="70">
        <v>4.0063292020000002E-2</v>
      </c>
      <c r="Q336" s="70">
        <v>0.3653817417200001</v>
      </c>
    </row>
    <row r="337" spans="3:17" ht="42.75">
      <c r="C337" s="321" t="s">
        <v>484</v>
      </c>
      <c r="D337" s="322"/>
      <c r="E337" s="783"/>
      <c r="F337" s="325"/>
      <c r="G337" s="319" t="str">
        <f>IFERROR(IF(E337="","",IF(F337="Direct-from-manufacturer",(E337*H337/1000*'Reporting Year &amp; Inflation Adj.'!$F$9),(E337*I337/1000*'Reporting Year &amp; Inflation Adj.'!$F$9))),"")</f>
        <v/>
      </c>
      <c r="H337" s="804">
        <v>0.13692032611000002</v>
      </c>
      <c r="I337" s="805">
        <v>0.17012560599999996</v>
      </c>
      <c r="J337" s="806">
        <v>0.19458438937169761</v>
      </c>
      <c r="K337" s="68">
        <v>312110</v>
      </c>
      <c r="L337" s="68" t="s">
        <v>3641</v>
      </c>
      <c r="M337" s="69" t="s">
        <v>440</v>
      </c>
      <c r="N337" s="69" t="s">
        <v>486</v>
      </c>
      <c r="O337" s="70">
        <v>0.17481235582000001</v>
      </c>
      <c r="P337" s="70">
        <v>4.2216654900000004E-2</v>
      </c>
      <c r="Q337" s="70">
        <v>0.21651435390000007</v>
      </c>
    </row>
    <row r="338" spans="3:17" ht="71.25">
      <c r="C338" s="321" t="s">
        <v>910</v>
      </c>
      <c r="D338" s="322"/>
      <c r="E338" s="783"/>
      <c r="F338" s="325"/>
      <c r="G338" s="319" t="str">
        <f>IFERROR(IF(E338="","",IF(F338="Direct-from-manufacturer",(E338*H338/1000*'Reporting Year &amp; Inflation Adj.'!$F$9),(E338*I338/1000*'Reporting Year &amp; Inflation Adj.'!$F$9))),"")</f>
        <v/>
      </c>
      <c r="H338" s="804">
        <v>3.2579004410000001E-2</v>
      </c>
      <c r="I338" s="805">
        <v>7.4173864955000002E-2</v>
      </c>
      <c r="J338" s="806">
        <v>0.56113050641558015</v>
      </c>
      <c r="K338" s="68">
        <v>511200</v>
      </c>
      <c r="L338" s="68" t="s">
        <v>3642</v>
      </c>
      <c r="M338" s="69" t="s">
        <v>904</v>
      </c>
      <c r="N338" s="69" t="s">
        <v>912</v>
      </c>
      <c r="O338" s="70">
        <v>3.5854920470000003E-2</v>
      </c>
      <c r="P338" s="70">
        <v>4.5433523160000003E-2</v>
      </c>
      <c r="Q338" s="70">
        <v>8.1184150829999982E-2</v>
      </c>
    </row>
    <row r="339" spans="3:17" ht="28.5">
      <c r="C339" s="321" t="s">
        <v>916</v>
      </c>
      <c r="D339" s="322"/>
      <c r="E339" s="783"/>
      <c r="F339" s="325"/>
      <c r="G339" s="319" t="str">
        <f>IFERROR(IF(E339="","",IF(F339="Direct-from-manufacturer",(E339*H339/1000*'Reporting Year &amp; Inflation Adj.'!$F$9),(E339*I339/1000*'Reporting Year &amp; Inflation Adj.'!$F$9))),"")</f>
        <v/>
      </c>
      <c r="H339" s="804">
        <v>2.3915154050000002E-2</v>
      </c>
      <c r="I339" s="805">
        <v>4.0206235659999999E-2</v>
      </c>
      <c r="J339" s="806">
        <v>0.40533022695315912</v>
      </c>
      <c r="K339" s="68">
        <v>512200</v>
      </c>
      <c r="L339" s="68" t="s">
        <v>3643</v>
      </c>
      <c r="M339" s="69" t="s">
        <v>904</v>
      </c>
      <c r="N339" s="69" t="s">
        <v>918</v>
      </c>
      <c r="O339" s="70">
        <v>2.6393777782000007E-2</v>
      </c>
      <c r="P339" s="70">
        <v>1.8227289521000001E-2</v>
      </c>
      <c r="Q339" s="70">
        <v>4.4635745090000012E-2</v>
      </c>
    </row>
    <row r="340" spans="3:17" ht="42.75">
      <c r="C340" s="321" t="s">
        <v>703</v>
      </c>
      <c r="D340" s="322"/>
      <c r="E340" s="783"/>
      <c r="F340" s="325"/>
      <c r="G340" s="319" t="str">
        <f>IFERROR(IF(E340="","",IF(F340="Direct-from-manufacturer",(E340*H340/1000*'Reporting Year &amp; Inflation Adj.'!$F$9),(E340*I340/1000*'Reporting Year &amp; Inflation Adj.'!$F$9))),"")</f>
        <v/>
      </c>
      <c r="H340" s="804">
        <v>0.16208735524000004</v>
      </c>
      <c r="I340" s="805">
        <v>0.18571072511000006</v>
      </c>
      <c r="J340" s="806">
        <v>0.12615173986921491</v>
      </c>
      <c r="K340" s="68">
        <v>333514</v>
      </c>
      <c r="L340" s="68" t="s">
        <v>3644</v>
      </c>
      <c r="M340" s="69" t="s">
        <v>440</v>
      </c>
      <c r="N340" s="69" t="s">
        <v>702</v>
      </c>
      <c r="O340" s="70">
        <v>0.18490337550000002</v>
      </c>
      <c r="P340" s="70">
        <v>2.5839105580000004E-2</v>
      </c>
      <c r="Q340" s="70">
        <v>0.21124523005999998</v>
      </c>
    </row>
    <row r="341" spans="3:17" ht="28.5">
      <c r="C341" s="321" t="s">
        <v>989</v>
      </c>
      <c r="D341" s="322"/>
      <c r="E341" s="783"/>
      <c r="F341" s="323" t="s">
        <v>366</v>
      </c>
      <c r="G341" s="319" t="str">
        <f>IFERROR(IF(E341="","",IF(F341="Direct-from-manufacturer",(E341*H341/1000*'Reporting Year &amp; Inflation Adj.'!$F$9),(E341*I341/1000*'Reporting Year &amp; Inflation Adj.'!$F$9))),"")</f>
        <v/>
      </c>
      <c r="H341" s="804">
        <v>8.7515767984999979E-2</v>
      </c>
      <c r="I341" s="805">
        <v>8.7515767984999979E-2</v>
      </c>
      <c r="J341" s="806">
        <v>0</v>
      </c>
      <c r="K341" s="68">
        <v>541400</v>
      </c>
      <c r="L341" s="68" t="s">
        <v>3645</v>
      </c>
      <c r="M341" s="69" t="s">
        <v>981</v>
      </c>
      <c r="N341" s="69" t="s">
        <v>991</v>
      </c>
      <c r="O341" s="70">
        <v>9.4893597570000029E-2</v>
      </c>
      <c r="P341" s="70">
        <v>0</v>
      </c>
      <c r="Q341" s="70">
        <v>9.4893597570000029E-2</v>
      </c>
    </row>
    <row r="342" spans="3:17" ht="57">
      <c r="C342" s="321" t="s">
        <v>765</v>
      </c>
      <c r="D342" s="322"/>
      <c r="E342" s="783"/>
      <c r="F342" s="325"/>
      <c r="G342" s="319" t="str">
        <f>IFERROR(IF(E342="","",IF(F342="Direct-from-manufacturer",(E342*H342/1000*'Reporting Year &amp; Inflation Adj.'!$F$9),(E342*I342/1000*'Reporting Year &amp; Inflation Adj.'!$F$9))),"")</f>
        <v/>
      </c>
      <c r="H342" s="804">
        <v>9.9984565235000003E-2</v>
      </c>
      <c r="I342" s="805">
        <v>0.11261668092499999</v>
      </c>
      <c r="J342" s="806">
        <v>0.11582294135170547</v>
      </c>
      <c r="K342" s="68">
        <v>335311</v>
      </c>
      <c r="L342" s="68" t="s">
        <v>3646</v>
      </c>
      <c r="M342" s="69" t="s">
        <v>440</v>
      </c>
      <c r="N342" s="69" t="s">
        <v>767</v>
      </c>
      <c r="O342" s="70">
        <v>0.11876676388</v>
      </c>
      <c r="P342" s="70">
        <v>1.5369218896999997E-2</v>
      </c>
      <c r="Q342" s="70">
        <v>0.13364481585999996</v>
      </c>
    </row>
    <row r="343" spans="3:17" ht="71.25">
      <c r="C343" s="321" t="s">
        <v>710</v>
      </c>
      <c r="D343" s="322"/>
      <c r="E343" s="783"/>
      <c r="F343" s="325"/>
      <c r="G343" s="319" t="str">
        <f>IFERROR(IF(E343="","",IF(F343="Direct-from-manufacturer",(E343*H343/1000*'Reporting Year &amp; Inflation Adj.'!$F$9),(E343*I343/1000*'Reporting Year &amp; Inflation Adj.'!$F$9))),"")</f>
        <v/>
      </c>
      <c r="H343" s="804">
        <v>0.13750313211500004</v>
      </c>
      <c r="I343" s="805">
        <v>0.15167449485499998</v>
      </c>
      <c r="J343" s="806">
        <v>9.2120638136012886E-2</v>
      </c>
      <c r="K343" s="68">
        <v>333612</v>
      </c>
      <c r="L343" s="68" t="s">
        <v>3647</v>
      </c>
      <c r="M343" s="69" t="s">
        <v>440</v>
      </c>
      <c r="N343" s="69" t="s">
        <v>709</v>
      </c>
      <c r="O343" s="70">
        <v>0.16449278955999999</v>
      </c>
      <c r="P343" s="70">
        <v>1.5745833661000002E-2</v>
      </c>
      <c r="Q343" s="70">
        <v>0.18016226941000002</v>
      </c>
    </row>
    <row r="344" spans="3:17" ht="42.75">
      <c r="C344" s="321" t="s">
        <v>846</v>
      </c>
      <c r="D344" s="322"/>
      <c r="E344" s="783"/>
      <c r="F344" s="325"/>
      <c r="G344" s="319" t="str">
        <f>IFERROR(IF(E344="","",IF(F344="Direct-from-manufacturer",(E344*H344/1000*'Reporting Year &amp; Inflation Adj.'!$F$9),(E344*I344/1000*'Reporting Year &amp; Inflation Adj.'!$F$9))),"")</f>
        <v/>
      </c>
      <c r="H344" s="804">
        <v>9.2296552665000003E-2</v>
      </c>
      <c r="I344" s="805">
        <v>0.15027903540000004</v>
      </c>
      <c r="J344" s="806">
        <v>0.38299411615733586</v>
      </c>
      <c r="K344" s="68">
        <v>339920</v>
      </c>
      <c r="L344" s="68" t="s">
        <v>3648</v>
      </c>
      <c r="M344" s="69" t="s">
        <v>440</v>
      </c>
      <c r="N344" s="69" t="s">
        <v>845</v>
      </c>
      <c r="O344" s="70">
        <v>0.10437189890000004</v>
      </c>
      <c r="P344" s="70">
        <v>6.4242298369999992E-2</v>
      </c>
      <c r="Q344" s="70">
        <v>0.16901058745</v>
      </c>
    </row>
    <row r="345" spans="3:17" ht="128.25">
      <c r="C345" s="321" t="s">
        <v>283</v>
      </c>
      <c r="D345" s="322"/>
      <c r="E345" s="783"/>
      <c r="F345" s="323" t="s">
        <v>366</v>
      </c>
      <c r="G345" s="319" t="str">
        <f>IFERROR(IF(E345="","",IF(F345="Direct-from-manufacturer",(E345*H345/1000*'Reporting Year &amp; Inflation Adj.'!$F$9),(E345*I345/1000*'Reporting Year &amp; Inflation Adj.'!$F$9))),"")</f>
        <v/>
      </c>
      <c r="H345" s="804">
        <v>5.4316845785000012E-2</v>
      </c>
      <c r="I345" s="805">
        <v>5.4316845785000012E-2</v>
      </c>
      <c r="J345" s="806">
        <v>0</v>
      </c>
      <c r="K345" s="68">
        <v>711200</v>
      </c>
      <c r="L345" s="68" t="s">
        <v>3649</v>
      </c>
      <c r="M345" s="69" t="s">
        <v>1071</v>
      </c>
      <c r="N345" s="69" t="s">
        <v>1073</v>
      </c>
      <c r="O345" s="70">
        <v>6.743143041800001E-2</v>
      </c>
      <c r="P345" s="70">
        <v>0</v>
      </c>
      <c r="Q345" s="70">
        <v>6.743143041800001E-2</v>
      </c>
    </row>
    <row r="346" spans="3:17" ht="57">
      <c r="C346" s="321" t="s">
        <v>659</v>
      </c>
      <c r="D346" s="322"/>
      <c r="E346" s="783"/>
      <c r="F346" s="325"/>
      <c r="G346" s="319" t="str">
        <f>IFERROR(IF(E346="","",IF(F346="Direct-from-manufacturer",(E346*H346/1000*'Reporting Year &amp; Inflation Adj.'!$F$9),(E346*I346/1000*'Reporting Year &amp; Inflation Adj.'!$F$9))),"")</f>
        <v/>
      </c>
      <c r="H346" s="804">
        <v>0.19788211394500002</v>
      </c>
      <c r="I346" s="805">
        <v>0.21073330875500002</v>
      </c>
      <c r="J346" s="806">
        <v>6.1548484658774938E-2</v>
      </c>
      <c r="K346" s="68">
        <v>332600</v>
      </c>
      <c r="L346" s="68" t="s">
        <v>3650</v>
      </c>
      <c r="M346" s="69" t="s">
        <v>440</v>
      </c>
      <c r="N346" s="69" t="s">
        <v>661</v>
      </c>
      <c r="O346" s="70">
        <v>0.21969225398000003</v>
      </c>
      <c r="P346" s="70">
        <v>1.3756170960999998E-2</v>
      </c>
      <c r="Q346" s="70">
        <v>0.23385933550999999</v>
      </c>
    </row>
    <row r="347" spans="3:17" ht="42.75">
      <c r="C347" s="321" t="s">
        <v>535</v>
      </c>
      <c r="D347" s="322"/>
      <c r="E347" s="783"/>
      <c r="F347" s="325"/>
      <c r="G347" s="319" t="str">
        <f>IFERROR(IF(E347="","",IF(F347="Direct-from-manufacturer",(E347*H347/1000*'Reporting Year &amp; Inflation Adj.'!$F$9),(E347*I347/1000*'Reporting Year &amp; Inflation Adj.'!$F$9))),"")</f>
        <v/>
      </c>
      <c r="H347" s="804">
        <v>0.23170521500500002</v>
      </c>
      <c r="I347" s="805">
        <v>0.26090053294999987</v>
      </c>
      <c r="J347" s="806">
        <v>0.10999648195620912</v>
      </c>
      <c r="K347" s="68">
        <v>322230</v>
      </c>
      <c r="L347" s="68" t="s">
        <v>3651</v>
      </c>
      <c r="M347" s="69" t="s">
        <v>440</v>
      </c>
      <c r="N347" s="69" t="s">
        <v>533</v>
      </c>
      <c r="O347" s="70">
        <v>0.26653690626999998</v>
      </c>
      <c r="P347" s="70">
        <v>3.1294839549999995E-2</v>
      </c>
      <c r="Q347" s="70">
        <v>0.29841902962000011</v>
      </c>
    </row>
    <row r="348" spans="3:17" ht="57">
      <c r="C348" s="321" t="s">
        <v>771</v>
      </c>
      <c r="D348" s="322"/>
      <c r="E348" s="783"/>
      <c r="F348" s="325"/>
      <c r="G348" s="319" t="str">
        <f>IFERROR(IF(E348="","",IF(F348="Direct-from-manufacturer",(E348*H348/1000*'Reporting Year &amp; Inflation Adj.'!$F$9),(E348*I348/1000*'Reporting Year &amp; Inflation Adj.'!$F$9))),"")</f>
        <v/>
      </c>
      <c r="H348" s="804">
        <v>0.24495941232500004</v>
      </c>
      <c r="I348" s="805">
        <v>0.26781332346999992</v>
      </c>
      <c r="J348" s="806">
        <v>8.7929973142795895E-2</v>
      </c>
      <c r="K348" s="68">
        <v>335911</v>
      </c>
      <c r="L348" s="68" t="s">
        <v>3652</v>
      </c>
      <c r="M348" s="69" t="s">
        <v>440</v>
      </c>
      <c r="N348" s="69" t="s">
        <v>773</v>
      </c>
      <c r="O348" s="70">
        <v>0.31302456237999998</v>
      </c>
      <c r="P348" s="70">
        <v>2.5879296299999997E-2</v>
      </c>
      <c r="Q348" s="70">
        <v>0.33830367888000007</v>
      </c>
    </row>
    <row r="349" spans="3:17" ht="57">
      <c r="C349" s="321" t="s">
        <v>450</v>
      </c>
      <c r="D349" s="322"/>
      <c r="E349" s="783"/>
      <c r="F349" s="325"/>
      <c r="G349" s="319" t="str">
        <f>IFERROR(IF(E349="","",IF(F349="Direct-from-manufacturer",(E349*H349/1000*'Reporting Year &amp; Inflation Adj.'!$F$9),(E349*I349/1000*'Reporting Year &amp; Inflation Adj.'!$F$9))),"")</f>
        <v/>
      </c>
      <c r="H349" s="804">
        <v>0.33055147623000003</v>
      </c>
      <c r="I349" s="805">
        <v>0.36099195298000009</v>
      </c>
      <c r="J349" s="806">
        <v>8.4337012483729032E-2</v>
      </c>
      <c r="K349" s="68">
        <v>311300</v>
      </c>
      <c r="L349" s="68" t="s">
        <v>3653</v>
      </c>
      <c r="M349" s="69" t="s">
        <v>440</v>
      </c>
      <c r="N349" s="69" t="s">
        <v>452</v>
      </c>
      <c r="O349" s="70">
        <v>0.44729847981000004</v>
      </c>
      <c r="P349" s="70">
        <v>4.031134351E-2</v>
      </c>
      <c r="Q349" s="70">
        <v>0.4876606376</v>
      </c>
    </row>
    <row r="350" spans="3:17" ht="71.25">
      <c r="C350" s="321" t="s">
        <v>836</v>
      </c>
      <c r="D350" s="322"/>
      <c r="E350" s="783"/>
      <c r="F350" s="325"/>
      <c r="G350" s="319" t="str">
        <f>IFERROR(IF(E350="","",IF(F350="Direct-from-manufacturer",(E350*H350/1000*'Reporting Year &amp; Inflation Adj.'!$F$9),(E350*I350/1000*'Reporting Year &amp; Inflation Adj.'!$F$9))),"")</f>
        <v/>
      </c>
      <c r="H350" s="804">
        <v>0.10288027978999999</v>
      </c>
      <c r="I350" s="805">
        <v>0.13594991909999998</v>
      </c>
      <c r="J350" s="806">
        <v>0.2425174100011657</v>
      </c>
      <c r="K350" s="68">
        <v>339112</v>
      </c>
      <c r="L350" s="68" t="s">
        <v>3654</v>
      </c>
      <c r="M350" s="69" t="s">
        <v>440</v>
      </c>
      <c r="N350" s="69" t="s">
        <v>838</v>
      </c>
      <c r="O350" s="70">
        <v>0.12011926065999999</v>
      </c>
      <c r="P350" s="70">
        <v>3.7060093000000002E-2</v>
      </c>
      <c r="Q350" s="70">
        <v>0.15715856869000003</v>
      </c>
    </row>
    <row r="351" spans="3:17" ht="57">
      <c r="C351" s="321" t="s">
        <v>839</v>
      </c>
      <c r="D351" s="322"/>
      <c r="E351" s="783"/>
      <c r="F351" s="325"/>
      <c r="G351" s="319" t="str">
        <f>IFERROR(IF(E351="","",IF(F351="Direct-from-manufacturer",(E351*H351/1000*'Reporting Year &amp; Inflation Adj.'!$F$9),(E351*I351/1000*'Reporting Year &amp; Inflation Adj.'!$F$9))),"")</f>
        <v/>
      </c>
      <c r="H351" s="804">
        <v>8.2925477965000008E-2</v>
      </c>
      <c r="I351" s="805">
        <v>0.12213769005000001</v>
      </c>
      <c r="J351" s="806">
        <v>0.32172793958125123</v>
      </c>
      <c r="K351" s="68">
        <v>339113</v>
      </c>
      <c r="L351" s="68" t="s">
        <v>3655</v>
      </c>
      <c r="M351" s="69" t="s">
        <v>440</v>
      </c>
      <c r="N351" s="69" t="s">
        <v>838</v>
      </c>
      <c r="O351" s="70">
        <v>9.6384911100000012E-2</v>
      </c>
      <c r="P351" s="70">
        <v>4.5074250099999991E-2</v>
      </c>
      <c r="Q351" s="70">
        <v>0.14194901230000004</v>
      </c>
    </row>
    <row r="352" spans="3:17" ht="42.75">
      <c r="C352" s="321" t="s">
        <v>769</v>
      </c>
      <c r="D352" s="322"/>
      <c r="E352" s="783"/>
      <c r="F352" s="325"/>
      <c r="G352" s="319" t="str">
        <f>IFERROR(IF(E352="","",IF(F352="Direct-from-manufacturer",(E352*H352/1000*'Reporting Year &amp; Inflation Adj.'!$F$9),(E352*I352/1000*'Reporting Year &amp; Inflation Adj.'!$F$9))),"")</f>
        <v/>
      </c>
      <c r="H352" s="804">
        <v>0.122893018975</v>
      </c>
      <c r="I352" s="805">
        <v>0.13984351550499999</v>
      </c>
      <c r="J352" s="806">
        <v>0.11911009924092227</v>
      </c>
      <c r="K352" s="68">
        <v>335313</v>
      </c>
      <c r="L352" s="68" t="s">
        <v>3656</v>
      </c>
      <c r="M352" s="69" t="s">
        <v>440</v>
      </c>
      <c r="N352" s="69" t="s">
        <v>767</v>
      </c>
      <c r="O352" s="70">
        <v>0.15367667088999998</v>
      </c>
      <c r="P352" s="70">
        <v>2.130306526E-2</v>
      </c>
      <c r="Q352" s="70">
        <v>0.17456636504000003</v>
      </c>
    </row>
    <row r="353" spans="3:17" ht="28.5">
      <c r="C353" s="321" t="s">
        <v>552</v>
      </c>
      <c r="D353" s="322"/>
      <c r="E353" s="783"/>
      <c r="F353" s="325"/>
      <c r="G353" s="319" t="str">
        <f>IFERROR(IF(E353="","",IF(F353="Direct-from-manufacturer",(E353*H353/1000*'Reporting Year &amp; Inflation Adj.'!$F$9),(E353*I353/1000*'Reporting Year &amp; Inflation Adj.'!$F$9))),"")</f>
        <v/>
      </c>
      <c r="H353" s="804">
        <v>0.40333042213999998</v>
      </c>
      <c r="I353" s="805">
        <v>0.43103038791000009</v>
      </c>
      <c r="J353" s="806">
        <v>6.4939149338687732E-2</v>
      </c>
      <c r="K353" s="68">
        <v>325130</v>
      </c>
      <c r="L353" s="68" t="s">
        <v>3657</v>
      </c>
      <c r="M353" s="69" t="s">
        <v>440</v>
      </c>
      <c r="N353" s="69" t="s">
        <v>550</v>
      </c>
      <c r="O353" s="70">
        <v>0.40761407405000005</v>
      </c>
      <c r="P353" s="70">
        <v>2.6787533034E-2</v>
      </c>
      <c r="Q353" s="70">
        <v>0.43459764584000005</v>
      </c>
    </row>
    <row r="354" spans="3:17" ht="99.75">
      <c r="C354" s="321" t="s">
        <v>557</v>
      </c>
      <c r="D354" s="322"/>
      <c r="E354" s="783"/>
      <c r="F354" s="325"/>
      <c r="G354" s="319" t="str">
        <f>IFERROR(IF(E354="","",IF(F354="Direct-from-manufacturer",(E354*H354/1000*'Reporting Year &amp; Inflation Adj.'!$F$9),(E354*I354/1000*'Reporting Year &amp; Inflation Adj.'!$F$9))),"")</f>
        <v/>
      </c>
      <c r="H354" s="804">
        <v>0.83536685813000022</v>
      </c>
      <c r="I354" s="805">
        <v>0.85307943721000012</v>
      </c>
      <c r="J354" s="806">
        <v>2.0736473642893986E-2</v>
      </c>
      <c r="K354" s="68" t="s">
        <v>558</v>
      </c>
      <c r="L354" s="68" t="s">
        <v>3658</v>
      </c>
      <c r="M354" s="69" t="s">
        <v>440</v>
      </c>
      <c r="N354" s="69" t="s">
        <v>556</v>
      </c>
      <c r="O354" s="70">
        <v>0.89095166134000015</v>
      </c>
      <c r="P354" s="70">
        <v>1.6541261334000003E-2</v>
      </c>
      <c r="Q354" s="70">
        <v>0.90779730602000008</v>
      </c>
    </row>
    <row r="355" spans="3:17" ht="128.25">
      <c r="C355" s="321" t="s">
        <v>22</v>
      </c>
      <c r="D355" s="322"/>
      <c r="E355" s="783"/>
      <c r="F355" s="323" t="s">
        <v>366</v>
      </c>
      <c r="G355" s="319" t="str">
        <f>IFERROR(IF(E355="","",IF(F355="Direct-from-manufacturer",(E355*H355/1000*'Reporting Year &amp; Inflation Adj.'!$F$9),(E355*I355/1000*'Reporting Year &amp; Inflation Adj.'!$F$9))),"")</f>
        <v/>
      </c>
      <c r="H355" s="804">
        <v>6.7408138250000013E-2</v>
      </c>
      <c r="I355" s="805">
        <v>6.7408138250000013E-2</v>
      </c>
      <c r="J355" s="806">
        <v>0</v>
      </c>
      <c r="K355" s="68">
        <v>517110</v>
      </c>
      <c r="L355" s="68" t="s">
        <v>3659</v>
      </c>
      <c r="M355" s="69" t="s">
        <v>904</v>
      </c>
      <c r="N355" s="69" t="s">
        <v>926</v>
      </c>
      <c r="O355" s="70">
        <v>7.5952934630000024E-2</v>
      </c>
      <c r="P355" s="70">
        <v>0</v>
      </c>
      <c r="Q355" s="70">
        <v>7.5952934630000024E-2</v>
      </c>
    </row>
    <row r="356" spans="3:17" ht="85.5">
      <c r="C356" s="321" t="s">
        <v>729</v>
      </c>
      <c r="D356" s="322"/>
      <c r="E356" s="783"/>
      <c r="F356" s="325"/>
      <c r="G356" s="319" t="str">
        <f>IFERROR(IF(E356="","",IF(F356="Direct-from-manufacturer",(E356*H356/1000*'Reporting Year &amp; Inflation Adj.'!$F$9),(E356*I356/1000*'Reporting Year &amp; Inflation Adj.'!$F$9))),"")</f>
        <v/>
      </c>
      <c r="H356" s="804">
        <v>4.4794109530000001E-2</v>
      </c>
      <c r="I356" s="805">
        <v>8.4881299135000018E-2</v>
      </c>
      <c r="J356" s="806">
        <v>0.47229842513649228</v>
      </c>
      <c r="K356" s="68">
        <v>334210</v>
      </c>
      <c r="L356" s="68" t="s">
        <v>3660</v>
      </c>
      <c r="M356" s="69" t="s">
        <v>440</v>
      </c>
      <c r="N356" s="69" t="s">
        <v>731</v>
      </c>
      <c r="O356" s="70">
        <v>5.1110053150000008E-2</v>
      </c>
      <c r="P356" s="70">
        <v>4.5972486780000016E-2</v>
      </c>
      <c r="Q356" s="70">
        <v>9.7087003930000013E-2</v>
      </c>
    </row>
    <row r="357" spans="3:17" ht="213.75">
      <c r="C357" s="321" t="s">
        <v>359</v>
      </c>
      <c r="D357" s="322"/>
      <c r="E357" s="783"/>
      <c r="F357" s="325"/>
      <c r="G357" s="319" t="str">
        <f>IFERROR(IF(E357="","",IF(F357="Direct-from-manufacturer",(E357*H357/1000*'Reporting Year &amp; Inflation Adj.'!$F$9),(E357*I357/1000*'Reporting Year &amp; Inflation Adj.'!$F$9))),"")</f>
        <v/>
      </c>
      <c r="H357" s="804">
        <v>0.19637539751999999</v>
      </c>
      <c r="I357" s="805">
        <v>0.24627513665999998</v>
      </c>
      <c r="J357" s="806">
        <v>0.20089349847079288</v>
      </c>
      <c r="K357" s="68">
        <v>113000</v>
      </c>
      <c r="L357" s="68" t="s">
        <v>3661</v>
      </c>
      <c r="M357" s="69" t="s">
        <v>332</v>
      </c>
      <c r="N357" s="69" t="s">
        <v>361</v>
      </c>
      <c r="O357" s="70">
        <v>0.20261771559299999</v>
      </c>
      <c r="P357" s="70">
        <v>4.4952000830000005E-2</v>
      </c>
      <c r="Q357" s="70">
        <v>0.24742119283</v>
      </c>
    </row>
    <row r="358" spans="3:17" ht="28.5">
      <c r="C358" s="321" t="s">
        <v>490</v>
      </c>
      <c r="D358" s="322"/>
      <c r="E358" s="783"/>
      <c r="F358" s="325"/>
      <c r="G358" s="319" t="str">
        <f>IFERROR(IF(E358="","",IF(F358="Direct-from-manufacturer",(E358*H358/1000*'Reporting Year &amp; Inflation Adj.'!$F$9),(E358*I358/1000*'Reporting Year &amp; Inflation Adj.'!$F$9))),"")</f>
        <v/>
      </c>
      <c r="H358" s="804">
        <v>4.2463721194999991E-2</v>
      </c>
      <c r="I358" s="805">
        <v>7.7916650829999989E-2</v>
      </c>
      <c r="J358" s="806">
        <v>0.45506456004328244</v>
      </c>
      <c r="K358" s="68">
        <v>312200</v>
      </c>
      <c r="L358" s="68" t="s">
        <v>3662</v>
      </c>
      <c r="M358" s="69" t="s">
        <v>440</v>
      </c>
      <c r="N358" s="69" t="s">
        <v>492</v>
      </c>
      <c r="O358" s="70">
        <v>5.5884124348999989E-2</v>
      </c>
      <c r="P358" s="70">
        <v>4.6046203019999989E-2</v>
      </c>
      <c r="Q358" s="70">
        <v>0.10183397416999998</v>
      </c>
    </row>
    <row r="359" spans="3:17" ht="85.5">
      <c r="C359" s="321" t="s">
        <v>345</v>
      </c>
      <c r="D359" s="322"/>
      <c r="E359" s="783"/>
      <c r="F359" s="325"/>
      <c r="G359" s="319" t="str">
        <f>IFERROR(IF(E359="","",IF(F359="Direct-from-manufacturer",(E359*H359/1000*'Reporting Year &amp; Inflation Adj.'!$F$9),(E359*I359/1000*'Reporting Year &amp; Inflation Adj.'!$F$9))),"")</f>
        <v/>
      </c>
      <c r="H359" s="804">
        <v>0.96976676492000002</v>
      </c>
      <c r="I359" s="805">
        <v>1.0288734905299999</v>
      </c>
      <c r="J359" s="806">
        <v>5.630485128949958E-2</v>
      </c>
      <c r="K359" s="68">
        <v>111900</v>
      </c>
      <c r="L359" s="68" t="s">
        <v>3663</v>
      </c>
      <c r="M359" s="69" t="s">
        <v>332</v>
      </c>
      <c r="N359" s="69" t="s">
        <v>347</v>
      </c>
      <c r="O359" s="70">
        <v>0.72014353901900008</v>
      </c>
      <c r="P359" s="70">
        <v>3.7347464300000001E-2</v>
      </c>
      <c r="Q359" s="70">
        <v>0.75580965743000006</v>
      </c>
    </row>
    <row r="360" spans="3:17" ht="57">
      <c r="C360" s="321" t="s">
        <v>576</v>
      </c>
      <c r="D360" s="322"/>
      <c r="E360" s="783"/>
      <c r="F360" s="325"/>
      <c r="G360" s="319" t="str">
        <f>IFERROR(IF(E360="","",IF(F360="Direct-from-manufacturer",(E360*H360/1000*'Reporting Year &amp; Inflation Adj.'!$F$9),(E360*I360/1000*'Reporting Year &amp; Inflation Adj.'!$F$9))),"")</f>
        <v/>
      </c>
      <c r="H360" s="804">
        <v>0.12160752143999999</v>
      </c>
      <c r="I360" s="805">
        <v>0.17445835138000002</v>
      </c>
      <c r="J360" s="806">
        <v>0.29832199873675086</v>
      </c>
      <c r="K360" s="68">
        <v>325620</v>
      </c>
      <c r="L360" s="68" t="s">
        <v>3664</v>
      </c>
      <c r="M360" s="69" t="s">
        <v>440</v>
      </c>
      <c r="N360" s="69" t="s">
        <v>575</v>
      </c>
      <c r="O360" s="70">
        <v>0.13675569884000005</v>
      </c>
      <c r="P360" s="70">
        <v>5.8662337269999996E-2</v>
      </c>
      <c r="Q360" s="70">
        <v>0.19558050494999998</v>
      </c>
    </row>
    <row r="361" spans="3:17" ht="30">
      <c r="C361" s="321" t="s">
        <v>796</v>
      </c>
      <c r="D361" s="322"/>
      <c r="E361" s="783"/>
      <c r="F361" s="325"/>
      <c r="G361" s="319" t="str">
        <f>IFERROR(IF(E361="","",IF(F361="Direct-from-manufacturer",(E361*H361/1000*'Reporting Year &amp; Inflation Adj.'!$F$9),(E361*I361/1000*'Reporting Year &amp; Inflation Adj.'!$F$9))),"")</f>
        <v/>
      </c>
      <c r="H361" s="804">
        <v>0.20609815434500001</v>
      </c>
      <c r="I361" s="805">
        <v>0.23105709349500003</v>
      </c>
      <c r="J361" s="806">
        <v>0.10623749342078168</v>
      </c>
      <c r="K361" s="68">
        <v>336350</v>
      </c>
      <c r="L361" s="68" t="s">
        <v>3665</v>
      </c>
      <c r="M361" s="69" t="s">
        <v>440</v>
      </c>
      <c r="N361" s="69" t="s">
        <v>792</v>
      </c>
      <c r="O361" s="70">
        <v>0.22724334094999996</v>
      </c>
      <c r="P361" s="70">
        <v>2.694825792E-2</v>
      </c>
      <c r="Q361" s="70">
        <v>0.25363583119000005</v>
      </c>
    </row>
    <row r="362" spans="3:17" ht="42.75">
      <c r="C362" s="321" t="s">
        <v>3731</v>
      </c>
      <c r="D362" s="322"/>
      <c r="E362" s="783"/>
      <c r="F362" s="325"/>
      <c r="G362" s="319" t="str">
        <f>IFERROR(IF(E362="","",IF(F362="Direct-from-manufacturer",(E362*H362/1000*'Reporting Year &amp; Inflation Adj.'!$F$9),(E362*I362/1000*'Reporting Year &amp; Inflation Adj.'!$F$9))),"")</f>
        <v/>
      </c>
      <c r="H362" s="804">
        <v>8.1397544705000019E-2</v>
      </c>
      <c r="I362" s="805">
        <v>8.1397544705000019E-2</v>
      </c>
      <c r="J362" s="806">
        <v>0</v>
      </c>
      <c r="K362" s="68">
        <v>561500</v>
      </c>
      <c r="L362" s="68" t="s">
        <v>3732</v>
      </c>
      <c r="M362" s="69" t="s">
        <v>1006</v>
      </c>
      <c r="N362" s="69" t="s">
        <v>1018</v>
      </c>
      <c r="O362" s="795">
        <v>8.8829842450000002E-2</v>
      </c>
      <c r="P362" s="796">
        <v>0</v>
      </c>
      <c r="Q362" s="795">
        <v>8.8829842450000002E-2</v>
      </c>
    </row>
    <row r="363" spans="3:17" ht="85.5">
      <c r="C363" s="321" t="s">
        <v>789</v>
      </c>
      <c r="D363" s="322"/>
      <c r="E363" s="783"/>
      <c r="F363" s="325"/>
      <c r="G363" s="319" t="str">
        <f>IFERROR(IF(E363="","",IF(F363="Direct-from-manufacturer",(E363*H363/1000*'Reporting Year &amp; Inflation Adj.'!$F$9),(E363*I363/1000*'Reporting Year &amp; Inflation Adj.'!$F$9))),"")</f>
        <v/>
      </c>
      <c r="H363" s="804">
        <v>0.12330126315499999</v>
      </c>
      <c r="I363" s="805">
        <v>0.15396649610999999</v>
      </c>
      <c r="J363" s="806">
        <v>0.20371627436784176</v>
      </c>
      <c r="K363" s="68">
        <v>336214</v>
      </c>
      <c r="L363" s="68" t="s">
        <v>3666</v>
      </c>
      <c r="M363" s="69" t="s">
        <v>440</v>
      </c>
      <c r="N363" s="69" t="s">
        <v>786</v>
      </c>
      <c r="O363" s="70">
        <v>0.12832459967999998</v>
      </c>
      <c r="P363" s="70">
        <v>3.3118057489999998E-2</v>
      </c>
      <c r="Q363" s="70">
        <v>0.16122923276999995</v>
      </c>
    </row>
    <row r="364" spans="3:17" ht="42.75">
      <c r="C364" s="321" t="s">
        <v>787</v>
      </c>
      <c r="D364" s="322"/>
      <c r="E364" s="783"/>
      <c r="F364" s="325"/>
      <c r="G364" s="319" t="str">
        <f>IFERROR(IF(E364="","",IF(F364="Direct-from-manufacturer",(E364*H364/1000*'Reporting Year &amp; Inflation Adj.'!$F$9),(E364*I364/1000*'Reporting Year &amp; Inflation Adj.'!$F$9))),"")</f>
        <v/>
      </c>
      <c r="H364" s="804">
        <v>0.17803496009500008</v>
      </c>
      <c r="I364" s="805">
        <v>0.191562193715</v>
      </c>
      <c r="J364" s="806">
        <v>7.3738436698085927E-2</v>
      </c>
      <c r="K364" s="68">
        <v>336212</v>
      </c>
      <c r="L364" s="68" t="s">
        <v>3667</v>
      </c>
      <c r="M364" s="69" t="s">
        <v>440</v>
      </c>
      <c r="N364" s="69" t="s">
        <v>786</v>
      </c>
      <c r="O364" s="70">
        <v>0.1868422435</v>
      </c>
      <c r="P364" s="70">
        <v>1.4850873255999998E-2</v>
      </c>
      <c r="Q364" s="70">
        <v>0.20160288692999995</v>
      </c>
    </row>
    <row r="365" spans="3:17" ht="71.25">
      <c r="C365" s="321" t="s">
        <v>707</v>
      </c>
      <c r="D365" s="322"/>
      <c r="E365" s="783"/>
      <c r="F365" s="325"/>
      <c r="G365" s="319" t="str">
        <f>IFERROR(IF(E365="","",IF(F365="Direct-from-manufacturer",(E365*H365/1000*'Reporting Year &amp; Inflation Adj.'!$F$9),(E365*I365/1000*'Reporting Year &amp; Inflation Adj.'!$F$9))),"")</f>
        <v/>
      </c>
      <c r="H365" s="804">
        <v>0.15272658064</v>
      </c>
      <c r="I365" s="805">
        <v>0.175080145385</v>
      </c>
      <c r="J365" s="806">
        <v>0.12365049867530414</v>
      </c>
      <c r="K365" s="68">
        <v>333611</v>
      </c>
      <c r="L365" s="68" t="s">
        <v>3668</v>
      </c>
      <c r="M365" s="69" t="s">
        <v>440</v>
      </c>
      <c r="N365" s="69" t="s">
        <v>709</v>
      </c>
      <c r="O365" s="70">
        <v>0.17814769991999999</v>
      </c>
      <c r="P365" s="70">
        <v>2.4136216280000001E-2</v>
      </c>
      <c r="Q365" s="70">
        <v>0.20219486679999998</v>
      </c>
    </row>
    <row r="366" spans="3:17" ht="185.25">
      <c r="C366" s="321" t="s">
        <v>369</v>
      </c>
      <c r="D366" s="322"/>
      <c r="E366" s="783"/>
      <c r="F366" s="325"/>
      <c r="G366" s="319" t="str">
        <f>IFERROR(IF(E366="","",IF(F366="Direct-from-manufacturer",(E366*H366/1000*'Reporting Year &amp; Inflation Adj.'!$F$9),(E366*I366/1000*'Reporting Year &amp; Inflation Adj.'!$F$9))),"")</f>
        <v/>
      </c>
      <c r="H366" s="804">
        <v>0.5873075376250001</v>
      </c>
      <c r="I366" s="805">
        <v>0.63673808096999995</v>
      </c>
      <c r="J366" s="806">
        <v>8.0266432262291507E-2</v>
      </c>
      <c r="K366" s="68">
        <v>211000</v>
      </c>
      <c r="L366" s="68" t="s">
        <v>3669</v>
      </c>
      <c r="M366" s="69" t="s">
        <v>371</v>
      </c>
      <c r="N366" s="69" t="s">
        <v>372</v>
      </c>
      <c r="O366" s="70">
        <v>0.39016657961400003</v>
      </c>
      <c r="P366" s="70">
        <v>2.8213200745E-2</v>
      </c>
      <c r="Q366" s="70">
        <v>0.41917318536599996</v>
      </c>
    </row>
    <row r="367" spans="3:17" ht="42.75">
      <c r="C367" s="321" t="s">
        <v>588</v>
      </c>
      <c r="D367" s="322"/>
      <c r="E367" s="783"/>
      <c r="F367" s="325"/>
      <c r="G367" s="319" t="str">
        <f>IFERROR(IF(E367="","",IF(F367="Direct-from-manufacturer",(E367*H367/1000*'Reporting Year &amp; Inflation Adj.'!$F$9),(E367*I367/1000*'Reporting Year &amp; Inflation Adj.'!$F$9))),"")</f>
        <v/>
      </c>
      <c r="H367" s="804">
        <v>0.30092099455000004</v>
      </c>
      <c r="I367" s="805">
        <v>0.34335698845000001</v>
      </c>
      <c r="J367" s="806">
        <v>0.12415796243858276</v>
      </c>
      <c r="K367" s="68">
        <v>326150</v>
      </c>
      <c r="L367" s="68" t="s">
        <v>3670</v>
      </c>
      <c r="M367" s="69" t="s">
        <v>440</v>
      </c>
      <c r="N367" s="69" t="s">
        <v>584</v>
      </c>
      <c r="O367" s="70">
        <v>0.32021988693000009</v>
      </c>
      <c r="P367" s="70">
        <v>4.2660458610000007E-2</v>
      </c>
      <c r="Q367" s="70">
        <v>0.36288634806999998</v>
      </c>
    </row>
    <row r="368" spans="3:17" ht="30">
      <c r="C368" s="321" t="s">
        <v>404</v>
      </c>
      <c r="D368" s="322"/>
      <c r="E368" s="783"/>
      <c r="F368" s="323" t="s">
        <v>366</v>
      </c>
      <c r="G368" s="319" t="str">
        <f>IFERROR(IF(E368="","",IF(F368="Direct-from-manufacturer",(E368*H368/1000*'Reporting Year &amp; Inflation Adj.'!$F$9),(E368*I368/1000*'Reporting Year &amp; Inflation Adj.'!$F$9))),"")</f>
        <v/>
      </c>
      <c r="H368" s="804">
        <v>0.25722811739499996</v>
      </c>
      <c r="I368" s="805">
        <v>0.25722811739499996</v>
      </c>
      <c r="J368" s="806">
        <v>0</v>
      </c>
      <c r="K368" s="68">
        <v>233240</v>
      </c>
      <c r="L368" s="68" t="s">
        <v>3671</v>
      </c>
      <c r="M368" s="69" t="s">
        <v>397</v>
      </c>
      <c r="N368" s="69" t="s">
        <v>406</v>
      </c>
      <c r="O368" s="70">
        <v>0.28157437371999999</v>
      </c>
      <c r="P368" s="70">
        <v>0</v>
      </c>
      <c r="Q368" s="70">
        <v>0.28157437371999999</v>
      </c>
    </row>
    <row r="369" spans="3:17" ht="42.75">
      <c r="C369" s="321" t="s">
        <v>568</v>
      </c>
      <c r="D369" s="322"/>
      <c r="E369" s="783"/>
      <c r="F369" s="325"/>
      <c r="G369" s="319" t="str">
        <f>IFERROR(IF(E369="","",IF(F369="Direct-from-manufacturer",(E369*H369/1000*'Reporting Year &amp; Inflation Adj.'!$F$9),(E369*I369/1000*'Reporting Year &amp; Inflation Adj.'!$F$9))),"")</f>
        <v/>
      </c>
      <c r="H369" s="804">
        <v>0.120133297665</v>
      </c>
      <c r="I369" s="805">
        <v>0.14236750703500001</v>
      </c>
      <c r="J369" s="806">
        <v>0.15752006365108856</v>
      </c>
      <c r="K369" s="68">
        <v>325414</v>
      </c>
      <c r="L369" s="68" t="s">
        <v>3672</v>
      </c>
      <c r="M369" s="69" t="s">
        <v>440</v>
      </c>
      <c r="N369" s="69" t="s">
        <v>565</v>
      </c>
      <c r="O369" s="70">
        <v>0.12672107044</v>
      </c>
      <c r="P369" s="70">
        <v>2.4981266810000003E-2</v>
      </c>
      <c r="Q369" s="70">
        <v>0.15229795590999998</v>
      </c>
    </row>
    <row r="370" spans="3:17" ht="57">
      <c r="C370" s="321" t="s">
        <v>669</v>
      </c>
      <c r="D370" s="322"/>
      <c r="E370" s="783"/>
      <c r="F370" s="325"/>
      <c r="G370" s="319" t="str">
        <f>IFERROR(IF(E370="","",IF(F370="Direct-from-manufacturer",(E370*H370/1000*'Reporting Year &amp; Inflation Adj.'!$F$9),(E370*I370/1000*'Reporting Year &amp; Inflation Adj.'!$F$9))),"")</f>
        <v/>
      </c>
      <c r="H370" s="804">
        <v>0.11775819243000001</v>
      </c>
      <c r="I370" s="805">
        <v>0.13947618804499998</v>
      </c>
      <c r="J370" s="806">
        <v>0.15786914600717289</v>
      </c>
      <c r="K370" s="68" t="s">
        <v>670</v>
      </c>
      <c r="L370" s="68" t="s">
        <v>3343</v>
      </c>
      <c r="M370" s="69" t="s">
        <v>440</v>
      </c>
      <c r="N370" s="69" t="s">
        <v>671</v>
      </c>
      <c r="O370" s="70">
        <v>0.14749188716000003</v>
      </c>
      <c r="P370" s="70">
        <v>2.677316095E-2</v>
      </c>
      <c r="Q370" s="70">
        <v>0.17427236980000002</v>
      </c>
    </row>
    <row r="371" spans="3:17" ht="42.75">
      <c r="C371" s="321" t="s">
        <v>447</v>
      </c>
      <c r="D371" s="322"/>
      <c r="E371" s="783"/>
      <c r="F371" s="325"/>
      <c r="G371" s="319" t="str">
        <f>IFERROR(IF(E371="","",IF(F371="Direct-from-manufacturer",(E371*H371/1000*'Reporting Year &amp; Inflation Adj.'!$F$9),(E371*I371/1000*'Reporting Year &amp; Inflation Adj.'!$F$9))),"")</f>
        <v/>
      </c>
      <c r="H371" s="804">
        <v>0.54880636398000004</v>
      </c>
      <c r="I371" s="805">
        <v>0.58297055075000004</v>
      </c>
      <c r="J371" s="806">
        <v>6.0029923484089462E-2</v>
      </c>
      <c r="K371" s="68">
        <v>311224</v>
      </c>
      <c r="L371" s="68" t="s">
        <v>3673</v>
      </c>
      <c r="M371" s="69" t="s">
        <v>440</v>
      </c>
      <c r="N371" s="69" t="s">
        <v>445</v>
      </c>
      <c r="O371" s="70">
        <v>0.48947541996999999</v>
      </c>
      <c r="P371" s="70">
        <v>3.0651421640000003E-2</v>
      </c>
      <c r="Q371" s="70">
        <v>0.51941692100000003</v>
      </c>
    </row>
    <row r="372" spans="3:17" ht="42.75">
      <c r="C372" s="321" t="s">
        <v>784</v>
      </c>
      <c r="D372" s="322"/>
      <c r="E372" s="783"/>
      <c r="F372" s="325"/>
      <c r="G372" s="319" t="str">
        <f>IFERROR(IF(E372="","",IF(F372="Direct-from-manufacturer",(E372*H372/1000*'Reporting Year &amp; Inflation Adj.'!$F$9),(E372*I372/1000*'Reporting Year &amp; Inflation Adj.'!$F$9))),"")</f>
        <v/>
      </c>
      <c r="H372" s="804">
        <v>0.19185723220499995</v>
      </c>
      <c r="I372" s="805">
        <v>0.21597078885500001</v>
      </c>
      <c r="J372" s="806">
        <v>0.11161268576086854</v>
      </c>
      <c r="K372" s="68">
        <v>336211</v>
      </c>
      <c r="L372" s="68" t="s">
        <v>3674</v>
      </c>
      <c r="M372" s="69" t="s">
        <v>440</v>
      </c>
      <c r="N372" s="69" t="s">
        <v>786</v>
      </c>
      <c r="O372" s="70">
        <v>0.22592833542999999</v>
      </c>
      <c r="P372" s="70">
        <v>2.8341285469999998E-2</v>
      </c>
      <c r="Q372" s="70">
        <v>0.25398221707000002</v>
      </c>
    </row>
    <row r="373" spans="3:17" ht="57">
      <c r="C373" s="321" t="s">
        <v>793</v>
      </c>
      <c r="D373" s="322"/>
      <c r="E373" s="783"/>
      <c r="F373" s="325"/>
      <c r="G373" s="319" t="str">
        <f>IFERROR(IF(E373="","",IF(F373="Direct-from-manufacturer",(E373*H373/1000*'Reporting Year &amp; Inflation Adj.'!$F$9),(E373*I373/1000*'Reporting Year &amp; Inflation Adj.'!$F$9))),"")</f>
        <v/>
      </c>
      <c r="H373" s="804">
        <v>0.17483482284499999</v>
      </c>
      <c r="I373" s="805">
        <v>0.19971557660499994</v>
      </c>
      <c r="J373" s="806">
        <v>0.12213297868219131</v>
      </c>
      <c r="K373" s="68">
        <v>336320</v>
      </c>
      <c r="L373" s="68" t="s">
        <v>3675</v>
      </c>
      <c r="M373" s="69" t="s">
        <v>440</v>
      </c>
      <c r="N373" s="69" t="s">
        <v>792</v>
      </c>
      <c r="O373" s="70">
        <v>0.19220745401000003</v>
      </c>
      <c r="P373" s="70">
        <v>2.686895597E-2</v>
      </c>
      <c r="Q373" s="70">
        <v>0.21955621522000002</v>
      </c>
    </row>
    <row r="374" spans="3:17" ht="28.5">
      <c r="C374" s="321" t="s">
        <v>790</v>
      </c>
      <c r="D374" s="322"/>
      <c r="E374" s="783"/>
      <c r="F374" s="325"/>
      <c r="G374" s="319" t="str">
        <f>IFERROR(IF(E374="","",IF(F374="Direct-from-manufacturer",(E374*H374/1000*'Reporting Year &amp; Inflation Adj.'!$F$9),(E374*I374/1000*'Reporting Year &amp; Inflation Adj.'!$F$9))),"")</f>
        <v/>
      </c>
      <c r="H374" s="804">
        <v>0.22163554559000001</v>
      </c>
      <c r="I374" s="805">
        <v>0.24915151982499997</v>
      </c>
      <c r="J374" s="806">
        <v>0.11311540756321772</v>
      </c>
      <c r="K374" s="68">
        <v>336310</v>
      </c>
      <c r="L374" s="68" t="s">
        <v>3676</v>
      </c>
      <c r="M374" s="69" t="s">
        <v>440</v>
      </c>
      <c r="N374" s="69" t="s">
        <v>792</v>
      </c>
      <c r="O374" s="70">
        <v>0.23132118061000004</v>
      </c>
      <c r="P374" s="70">
        <v>2.9373836610000002E-2</v>
      </c>
      <c r="Q374" s="70">
        <v>0.26009876108000007</v>
      </c>
    </row>
    <row r="375" spans="3:17" ht="28.5">
      <c r="C375" s="321" t="s">
        <v>798</v>
      </c>
      <c r="D375" s="322"/>
      <c r="E375" s="783"/>
      <c r="F375" s="325"/>
      <c r="G375" s="319" t="str">
        <f>IFERROR(IF(E375="","",IF(F375="Direct-from-manufacturer",(E375*H375/1000*'Reporting Year &amp; Inflation Adj.'!$F$9),(E375*I375/1000*'Reporting Year &amp; Inflation Adj.'!$F$9))),"")</f>
        <v/>
      </c>
      <c r="H375" s="804">
        <v>0.42655841151499996</v>
      </c>
      <c r="I375" s="805">
        <v>0.44571347130999989</v>
      </c>
      <c r="J375" s="806">
        <v>4.1815571347263991E-2</v>
      </c>
      <c r="K375" s="68">
        <v>336370</v>
      </c>
      <c r="L375" s="68" t="s">
        <v>3677</v>
      </c>
      <c r="M375" s="69" t="s">
        <v>440</v>
      </c>
      <c r="N375" s="69" t="s">
        <v>792</v>
      </c>
      <c r="O375" s="70">
        <v>0.48484363152000004</v>
      </c>
      <c r="P375" s="70">
        <v>2.0429700119999998E-2</v>
      </c>
      <c r="Q375" s="70">
        <v>0.50545306074000007</v>
      </c>
    </row>
    <row r="376" spans="3:17" ht="57">
      <c r="C376" s="321" t="s">
        <v>968</v>
      </c>
      <c r="D376" s="322"/>
      <c r="E376" s="783"/>
      <c r="F376" s="323" t="s">
        <v>366</v>
      </c>
      <c r="G376" s="319" t="str">
        <f>IFERROR(IF(E376="","",IF(F376="Direct-from-manufacturer",(E376*H376/1000*'Reporting Year &amp; Inflation Adj.'!$F$9),(E376*I376/1000*'Reporting Year &amp; Inflation Adj.'!$F$9))),"")</f>
        <v/>
      </c>
      <c r="H376" s="804">
        <v>9.902074847999999E-2</v>
      </c>
      <c r="I376" s="805">
        <v>9.902074847999999E-2</v>
      </c>
      <c r="J376" s="806">
        <v>0</v>
      </c>
      <c r="K376" s="68">
        <v>532100</v>
      </c>
      <c r="L376" s="68" t="s">
        <v>3678</v>
      </c>
      <c r="M376" s="69" t="s">
        <v>965</v>
      </c>
      <c r="N376" s="69" t="s">
        <v>970</v>
      </c>
      <c r="O376" s="70">
        <v>0.11125600780999999</v>
      </c>
      <c r="P376" s="70">
        <v>0</v>
      </c>
      <c r="Q376" s="70">
        <v>0.11125600780999999</v>
      </c>
    </row>
    <row r="377" spans="3:17" ht="71.25">
      <c r="C377" s="321" t="s">
        <v>1096</v>
      </c>
      <c r="D377" s="322"/>
      <c r="E377" s="783"/>
      <c r="F377" s="323" t="s">
        <v>366</v>
      </c>
      <c r="G377" s="319" t="str">
        <f>IFERROR(IF(E377="","",IF(F377="Direct-from-manufacturer",(E377*H377/1000*'Reporting Year &amp; Inflation Adj.'!$F$9),(E377*I377/1000*'Reporting Year &amp; Inflation Adj.'!$F$9))),"")</f>
        <v/>
      </c>
      <c r="H377" s="804">
        <v>9.998812596999998E-2</v>
      </c>
      <c r="I377" s="805">
        <v>9.998812596999998E-2</v>
      </c>
      <c r="J377" s="806">
        <v>0</v>
      </c>
      <c r="K377" s="68">
        <v>811100</v>
      </c>
      <c r="L377" s="68" t="s">
        <v>3679</v>
      </c>
      <c r="M377" s="69" t="s">
        <v>1098</v>
      </c>
      <c r="N377" s="69" t="s">
        <v>1099</v>
      </c>
      <c r="O377" s="70">
        <v>0.10424291136000002</v>
      </c>
      <c r="P377" s="70">
        <v>0</v>
      </c>
      <c r="Q377" s="70">
        <v>0.10424291136000002</v>
      </c>
    </row>
    <row r="378" spans="3:17" ht="30">
      <c r="C378" s="321" t="s">
        <v>797</v>
      </c>
      <c r="D378" s="322"/>
      <c r="E378" s="783"/>
      <c r="F378" s="325"/>
      <c r="G378" s="319" t="str">
        <f>IFERROR(IF(E378="","",IF(F378="Direct-from-manufacturer",(E378*H378/1000*'Reporting Year &amp; Inflation Adj.'!$F$9),(E378*I378/1000*'Reporting Year &amp; Inflation Adj.'!$F$9))),"")</f>
        <v/>
      </c>
      <c r="H378" s="804">
        <v>0.28953508265</v>
      </c>
      <c r="I378" s="805">
        <v>0.30752452029999999</v>
      </c>
      <c r="J378" s="806">
        <v>5.7801797260457345E-2</v>
      </c>
      <c r="K378" s="68">
        <v>336360</v>
      </c>
      <c r="L378" s="68" t="s">
        <v>3680</v>
      </c>
      <c r="M378" s="69" t="s">
        <v>440</v>
      </c>
      <c r="N378" s="69" t="s">
        <v>792</v>
      </c>
      <c r="O378" s="70">
        <v>0.31854248979999999</v>
      </c>
      <c r="P378" s="70">
        <v>1.8377405210000003E-2</v>
      </c>
      <c r="Q378" s="70">
        <v>0.33679329680000003</v>
      </c>
    </row>
    <row r="379" spans="3:17" ht="142.5">
      <c r="C379" s="321" t="s">
        <v>880</v>
      </c>
      <c r="D379" s="322"/>
      <c r="E379" s="783"/>
      <c r="F379" s="323" t="s">
        <v>366</v>
      </c>
      <c r="G379" s="319" t="str">
        <f>IFERROR(IF(E379="","",IF(F379="Direct-from-manufacturer",(E379*H379/1000*'Reporting Year &amp; Inflation Adj.'!$F$9),(E379*I379/1000*'Reporting Year &amp; Inflation Adj.'!$F$9))),"")</f>
        <v/>
      </c>
      <c r="H379" s="804">
        <v>0.10394582446</v>
      </c>
      <c r="I379" s="805">
        <v>0.10394582446</v>
      </c>
      <c r="J379" s="806">
        <v>0</v>
      </c>
      <c r="K379" s="68">
        <v>441000</v>
      </c>
      <c r="L379" s="68" t="s">
        <v>3681</v>
      </c>
      <c r="M379" s="69" t="s">
        <v>882</v>
      </c>
      <c r="N379" s="69" t="s">
        <v>883</v>
      </c>
      <c r="O379" s="70">
        <v>7.3288648339999998E-2</v>
      </c>
      <c r="P379" s="70">
        <v>0</v>
      </c>
      <c r="Q379" s="70">
        <v>7.3288648339999998E-2</v>
      </c>
    </row>
    <row r="380" spans="3:17" ht="42.75">
      <c r="C380" s="321" t="s">
        <v>524</v>
      </c>
      <c r="D380" s="322"/>
      <c r="E380" s="783"/>
      <c r="F380" s="325"/>
      <c r="G380" s="319" t="str">
        <f>IFERROR(IF(E380="","",IF(F380="Direct-from-manufacturer",(E380*H380/1000*'Reporting Year &amp; Inflation Adj.'!$F$9),(E380*I380/1000*'Reporting Year &amp; Inflation Adj.'!$F$9))),"")</f>
        <v/>
      </c>
      <c r="H380" s="804">
        <v>0.14336990779999997</v>
      </c>
      <c r="I380" s="805">
        <v>0.17603291620000006</v>
      </c>
      <c r="J380" s="806">
        <v>0.18293489396842699</v>
      </c>
      <c r="K380" s="68" t="s">
        <v>525</v>
      </c>
      <c r="L380" s="68" t="s">
        <v>3682</v>
      </c>
      <c r="M380" s="69" t="s">
        <v>440</v>
      </c>
      <c r="N380" s="69" t="s">
        <v>523</v>
      </c>
      <c r="O380" s="70">
        <v>0.13663857592</v>
      </c>
      <c r="P380" s="70">
        <v>2.9346889169999994E-2</v>
      </c>
      <c r="Q380" s="70">
        <v>0.16520085732000001</v>
      </c>
    </row>
    <row r="381" spans="3:17" ht="57">
      <c r="C381" s="321" t="s">
        <v>1002</v>
      </c>
      <c r="D381" s="322"/>
      <c r="E381" s="783"/>
      <c r="F381" s="323" t="s">
        <v>366</v>
      </c>
      <c r="G381" s="319" t="str">
        <f>IFERROR(IF(E381="","",IF(F381="Direct-from-manufacturer",(E381*H381/1000*'Reporting Year &amp; Inflation Adj.'!$F$9),(E381*I381/1000*'Reporting Year &amp; Inflation Adj.'!$F$9))),"")</f>
        <v/>
      </c>
      <c r="H381" s="804">
        <v>0.10654887151499998</v>
      </c>
      <c r="I381" s="805">
        <v>0.10654887151499998</v>
      </c>
      <c r="J381" s="806">
        <v>0</v>
      </c>
      <c r="K381" s="68">
        <v>541940</v>
      </c>
      <c r="L381" s="68" t="s">
        <v>3683</v>
      </c>
      <c r="M381" s="69" t="s">
        <v>981</v>
      </c>
      <c r="N381" s="69" t="s">
        <v>1652</v>
      </c>
      <c r="O381" s="70">
        <v>0.12938526766000003</v>
      </c>
      <c r="P381" s="70">
        <v>0</v>
      </c>
      <c r="Q381" s="70">
        <v>0.12938526766000003</v>
      </c>
    </row>
    <row r="382" spans="3:17" ht="71.25">
      <c r="C382" s="321" t="s">
        <v>753</v>
      </c>
      <c r="D382" s="322"/>
      <c r="E382" s="783"/>
      <c r="F382" s="325"/>
      <c r="G382" s="319" t="str">
        <f>IFERROR(IF(E382="","",IF(F382="Direct-from-manufacturer",(E382*H382/1000*'Reporting Year &amp; Inflation Adj.'!$F$9),(E382*I382/1000*'Reporting Year &amp; Inflation Adj.'!$F$9))),"")</f>
        <v/>
      </c>
      <c r="H382" s="804">
        <v>3.6458835505000002E-2</v>
      </c>
      <c r="I382" s="805">
        <v>7.1851503019999999E-2</v>
      </c>
      <c r="J382" s="806">
        <v>0.49102390669795071</v>
      </c>
      <c r="K382" s="68" t="s">
        <v>754</v>
      </c>
      <c r="L382" s="68" t="s">
        <v>3684</v>
      </c>
      <c r="M382" s="69" t="s">
        <v>440</v>
      </c>
      <c r="N382" s="69" t="s">
        <v>745</v>
      </c>
      <c r="O382" s="70">
        <v>4.4681087580000001E-2</v>
      </c>
      <c r="P382" s="70">
        <v>4.2588299699999999E-2</v>
      </c>
      <c r="Q382" s="70">
        <v>8.7381930999999996E-2</v>
      </c>
    </row>
    <row r="383" spans="3:17" ht="156.75">
      <c r="C383" s="321" t="s">
        <v>718</v>
      </c>
      <c r="D383" s="322"/>
      <c r="E383" s="783"/>
      <c r="F383" s="325"/>
      <c r="G383" s="319" t="str">
        <f>IFERROR(IF(E383="","",IF(F383="Direct-from-manufacturer",(E383*H383/1000*'Reporting Year &amp; Inflation Adj.'!$F$9),(E383*I383/1000*'Reporting Year &amp; Inflation Adj.'!$F$9))),"")</f>
        <v/>
      </c>
      <c r="H383" s="804">
        <v>0.19712561424</v>
      </c>
      <c r="I383" s="805">
        <v>0.21604474969000001</v>
      </c>
      <c r="J383" s="806">
        <v>8.7559182355245138E-2</v>
      </c>
      <c r="K383" s="68" t="s">
        <v>719</v>
      </c>
      <c r="L383" s="68" t="s">
        <v>3685</v>
      </c>
      <c r="M383" s="69" t="s">
        <v>440</v>
      </c>
      <c r="N383" s="69" t="s">
        <v>715</v>
      </c>
      <c r="O383" s="70">
        <v>0.22919756286000004</v>
      </c>
      <c r="P383" s="70">
        <v>2.1109887159999993E-2</v>
      </c>
      <c r="Q383" s="70">
        <v>0.25073325095999999</v>
      </c>
    </row>
    <row r="384" spans="3:17" ht="42.75">
      <c r="C384" s="321" t="s">
        <v>385</v>
      </c>
      <c r="D384" s="322"/>
      <c r="E384" s="783"/>
      <c r="F384" s="323" t="s">
        <v>366</v>
      </c>
      <c r="G384" s="319" t="str">
        <f>IFERROR(IF(E384="","",IF(F384="Direct-from-manufacturer",(E384*H384/1000*'Reporting Year &amp; Inflation Adj.'!$F$9),(E384*I384/1000*'Reporting Year &amp; Inflation Adj.'!$F$9))),"")</f>
        <v/>
      </c>
      <c r="H384" s="804">
        <v>0.35667676798999998</v>
      </c>
      <c r="I384" s="805">
        <v>0.35667676798999998</v>
      </c>
      <c r="J384" s="806">
        <v>0</v>
      </c>
      <c r="K384" s="68">
        <v>213111</v>
      </c>
      <c r="L384" s="68" t="s">
        <v>3686</v>
      </c>
      <c r="M384" s="69" t="s">
        <v>371</v>
      </c>
      <c r="N384" s="69" t="s">
        <v>387</v>
      </c>
      <c r="O384" s="70">
        <v>0.41476968495999994</v>
      </c>
      <c r="P384" s="70">
        <v>0</v>
      </c>
      <c r="Q384" s="70">
        <v>0.41476968495999994</v>
      </c>
    </row>
    <row r="385" spans="3:17" ht="57">
      <c r="C385" s="321" t="s">
        <v>877</v>
      </c>
      <c r="D385" s="322"/>
      <c r="E385" s="783"/>
      <c r="F385" s="323" t="s">
        <v>366</v>
      </c>
      <c r="G385" s="319" t="str">
        <f>IFERROR(IF(E385="","",IF(F385="Direct-from-manufacturer",(E385*H385/1000*'Reporting Year &amp; Inflation Adj.'!$F$9),(E385*I385/1000*'Reporting Year &amp; Inflation Adj.'!$F$9))),"")</f>
        <v/>
      </c>
      <c r="H385" s="804">
        <v>8.2255089889999966E-2</v>
      </c>
      <c r="I385" s="805">
        <v>8.2255089889999966E-2</v>
      </c>
      <c r="J385" s="806">
        <v>0</v>
      </c>
      <c r="K385" s="68">
        <v>425000</v>
      </c>
      <c r="L385" s="68" t="s">
        <v>3687</v>
      </c>
      <c r="M385" s="69" t="s">
        <v>853</v>
      </c>
      <c r="N385" s="69" t="s">
        <v>879</v>
      </c>
      <c r="O385" s="70">
        <v>9.26491485E-2</v>
      </c>
      <c r="P385" s="70">
        <v>0</v>
      </c>
      <c r="Q385" s="70">
        <v>9.26491485E-2</v>
      </c>
    </row>
    <row r="386" spans="3:17" ht="128.25">
      <c r="C386" s="321" t="s">
        <v>362</v>
      </c>
      <c r="D386" s="322"/>
      <c r="E386" s="783"/>
      <c r="F386" s="325"/>
      <c r="G386" s="319" t="str">
        <f>IFERROR(IF(E386="","",IF(F386="Direct-from-manufacturer",(E386*H386/1000*'Reporting Year &amp; Inflation Adj.'!$F$9),(E386*I386/1000*'Reporting Year &amp; Inflation Adj.'!$F$9))),"")</f>
        <v/>
      </c>
      <c r="H386" s="804">
        <v>0.14463004515000003</v>
      </c>
      <c r="I386" s="805">
        <v>0.17789418569000001</v>
      </c>
      <c r="J386" s="806">
        <v>0.18757701141592606</v>
      </c>
      <c r="K386" s="68">
        <v>114000</v>
      </c>
      <c r="L386" s="68" t="s">
        <v>3688</v>
      </c>
      <c r="M386" s="69" t="s">
        <v>332</v>
      </c>
      <c r="N386" s="69" t="s">
        <v>364</v>
      </c>
      <c r="O386" s="70">
        <v>0.12817661233400002</v>
      </c>
      <c r="P386" s="70">
        <v>2.7198626301999995E-2</v>
      </c>
      <c r="Q386" s="70">
        <v>0.15506998025000007</v>
      </c>
    </row>
    <row r="387" spans="3:17" ht="57">
      <c r="C387" s="321" t="s">
        <v>488</v>
      </c>
      <c r="D387" s="322"/>
      <c r="E387" s="783"/>
      <c r="F387" s="325"/>
      <c r="G387" s="319" t="str">
        <f>IFERROR(IF(E387="","",IF(F387="Direct-from-manufacturer",(E387*H387/1000*'Reporting Year &amp; Inflation Adj.'!$F$9),(E387*I387/1000*'Reporting Year &amp; Inflation Adj.'!$F$9))),"")</f>
        <v/>
      </c>
      <c r="H387" s="804">
        <v>0.10880258996999999</v>
      </c>
      <c r="I387" s="805">
        <v>0.15937550534</v>
      </c>
      <c r="J387" s="806">
        <v>0.31670775695624848</v>
      </c>
      <c r="K387" s="68">
        <v>312130</v>
      </c>
      <c r="L387" s="68" t="s">
        <v>3689</v>
      </c>
      <c r="M387" s="69" t="s">
        <v>440</v>
      </c>
      <c r="N387" s="69" t="s">
        <v>486</v>
      </c>
      <c r="O387" s="70">
        <v>0.12510304581999998</v>
      </c>
      <c r="P387" s="70">
        <v>5.9155324199999998E-2</v>
      </c>
      <c r="Q387" s="70">
        <v>0.18401687329999999</v>
      </c>
    </row>
    <row r="388" spans="3:17" ht="71.25">
      <c r="C388" s="321" t="s">
        <v>732</v>
      </c>
      <c r="D388" s="322"/>
      <c r="E388" s="783"/>
      <c r="F388" s="325"/>
      <c r="G388" s="319" t="str">
        <f>IFERROR(IF(E388="","",IF(F388="Direct-from-manufacturer",(E388*H388/1000*'Reporting Year &amp; Inflation Adj.'!$F$9),(E388*I388/1000*'Reporting Year &amp; Inflation Adj.'!$F$9))),"")</f>
        <v/>
      </c>
      <c r="H388" s="804">
        <v>6.1392066085000016E-2</v>
      </c>
      <c r="I388" s="805">
        <v>0.10554991586000002</v>
      </c>
      <c r="J388" s="806">
        <v>0.41829984842017276</v>
      </c>
      <c r="K388" s="68">
        <v>334220</v>
      </c>
      <c r="L388" s="68" t="s">
        <v>3690</v>
      </c>
      <c r="M388" s="69" t="s">
        <v>440</v>
      </c>
      <c r="N388" s="69" t="s">
        <v>731</v>
      </c>
      <c r="O388" s="70">
        <v>6.526158357999999E-2</v>
      </c>
      <c r="P388" s="70">
        <v>4.7206871920000004E-2</v>
      </c>
      <c r="Q388" s="70">
        <v>0.11245063555000001</v>
      </c>
    </row>
    <row r="389" spans="3:17" ht="57">
      <c r="C389" s="321" t="s">
        <v>927</v>
      </c>
      <c r="D389" s="322"/>
      <c r="E389" s="783"/>
      <c r="F389" s="323" t="s">
        <v>366</v>
      </c>
      <c r="G389" s="319" t="str">
        <f>IFERROR(IF(E389="","",IF(F389="Direct-from-manufacturer",(E389*H389/1000*'Reporting Year &amp; Inflation Adj.'!$F$9),(E389*I389/1000*'Reporting Year &amp; Inflation Adj.'!$F$9))),"")</f>
        <v/>
      </c>
      <c r="H389" s="804">
        <v>8.997482133000001E-2</v>
      </c>
      <c r="I389" s="805">
        <v>8.997482133000001E-2</v>
      </c>
      <c r="J389" s="806">
        <v>0</v>
      </c>
      <c r="K389" s="68">
        <v>517210</v>
      </c>
      <c r="L389" s="68" t="s">
        <v>3691</v>
      </c>
      <c r="M389" s="69" t="s">
        <v>904</v>
      </c>
      <c r="N389" s="69" t="s">
        <v>929</v>
      </c>
      <c r="O389" s="70">
        <v>9.7147592590000012E-2</v>
      </c>
      <c r="P389" s="70">
        <v>0</v>
      </c>
      <c r="Q389" s="70">
        <v>9.7147592590000012E-2</v>
      </c>
    </row>
    <row r="390" spans="3:17" ht="57">
      <c r="C390" s="321" t="s">
        <v>776</v>
      </c>
      <c r="D390" s="322"/>
      <c r="E390" s="783"/>
      <c r="F390" s="325"/>
      <c r="G390" s="319" t="str">
        <f>IFERROR(IF(E390="","",IF(F390="Direct-from-manufacturer",(E390*H390/1000*'Reporting Year &amp; Inflation Adj.'!$F$9),(E390*I390/1000*'Reporting Year &amp; Inflation Adj.'!$F$9))),"")</f>
        <v/>
      </c>
      <c r="H390" s="804">
        <v>8.8791775555000008E-2</v>
      </c>
      <c r="I390" s="805">
        <v>0.11054253394999997</v>
      </c>
      <c r="J390" s="806">
        <v>0.20045300431617261</v>
      </c>
      <c r="K390" s="68">
        <v>335930</v>
      </c>
      <c r="L390" s="68" t="s">
        <v>3692</v>
      </c>
      <c r="M390" s="69" t="s">
        <v>440</v>
      </c>
      <c r="N390" s="69" t="s">
        <v>773</v>
      </c>
      <c r="O390" s="70">
        <v>0.10208873781</v>
      </c>
      <c r="P390" s="70">
        <v>2.5883109040000001E-2</v>
      </c>
      <c r="Q390" s="70">
        <v>0.12805501333999997</v>
      </c>
    </row>
    <row r="391" spans="3:17" ht="57">
      <c r="C391" s="321" t="s">
        <v>820</v>
      </c>
      <c r="D391" s="322"/>
      <c r="E391" s="783"/>
      <c r="F391" s="325"/>
      <c r="G391" s="319" t="str">
        <f>IFERROR(IF(E391="","",IF(F391="Direct-from-manufacturer",(E391*H391/1000*'Reporting Year &amp; Inflation Adj.'!$F$9),(E391*I391/1000*'Reporting Year &amp; Inflation Adj.'!$F$9))),"")</f>
        <v/>
      </c>
      <c r="H391" s="804">
        <v>0.102323172495</v>
      </c>
      <c r="I391" s="805">
        <v>0.15078902886000001</v>
      </c>
      <c r="J391" s="806">
        <v>0.3216105045017929</v>
      </c>
      <c r="K391" s="68">
        <v>337110</v>
      </c>
      <c r="L391" s="68" t="s">
        <v>3693</v>
      </c>
      <c r="M391" s="69" t="s">
        <v>440</v>
      </c>
      <c r="N391" s="69" t="s">
        <v>822</v>
      </c>
      <c r="O391" s="70">
        <v>0.11435330217</v>
      </c>
      <c r="P391" s="70">
        <v>5.3064550119999998E-2</v>
      </c>
      <c r="Q391" s="70">
        <v>0.16738578498999998</v>
      </c>
    </row>
    <row r="392" spans="3:17" ht="42.75">
      <c r="C392" s="321" t="s">
        <v>526</v>
      </c>
      <c r="D392" s="322"/>
      <c r="E392" s="783"/>
      <c r="F392" s="325"/>
      <c r="G392" s="319" t="str">
        <f>IFERROR(IF(E392="","",IF(F392="Direct-from-manufacturer",(E392*H392/1000*'Reporting Year &amp; Inflation Adj.'!$F$9),(E392*I392/1000*'Reporting Year &amp; Inflation Adj.'!$F$9))),"")</f>
        <v/>
      </c>
      <c r="H392" s="804">
        <v>0.91189642608999999</v>
      </c>
      <c r="I392" s="805">
        <v>0.93909770080999999</v>
      </c>
      <c r="J392" s="806">
        <v>2.8854008125169781E-2</v>
      </c>
      <c r="K392" s="68">
        <v>322110</v>
      </c>
      <c r="L392" s="68" t="s">
        <v>3694</v>
      </c>
      <c r="M392" s="69" t="s">
        <v>440</v>
      </c>
      <c r="N392" s="69" t="s">
        <v>528</v>
      </c>
      <c r="O392" s="70">
        <v>0.98113822890000013</v>
      </c>
      <c r="P392" s="70">
        <v>2.4952683509899997E-2</v>
      </c>
      <c r="Q392" s="70">
        <v>1.00626725952</v>
      </c>
    </row>
    <row r="393" spans="3:17" ht="71.25">
      <c r="C393" s="321" t="s">
        <v>521</v>
      </c>
      <c r="D393" s="322"/>
      <c r="E393" s="783"/>
      <c r="F393" s="325"/>
      <c r="G393" s="319" t="str">
        <f>IFERROR(IF(E393="","",IF(F393="Direct-from-manufacturer",(E393*H393/1000*'Reporting Year &amp; Inflation Adj.'!$F$9),(E393*I393/1000*'Reporting Year &amp; Inflation Adj.'!$F$9))),"")</f>
        <v/>
      </c>
      <c r="H393" s="804">
        <v>0.12060881991</v>
      </c>
      <c r="I393" s="805">
        <v>0.15232747406500005</v>
      </c>
      <c r="J393" s="806">
        <v>0.21019690591952694</v>
      </c>
      <c r="K393" s="68">
        <v>321910</v>
      </c>
      <c r="L393" s="68" t="s">
        <v>3695</v>
      </c>
      <c r="M393" s="69" t="s">
        <v>440</v>
      </c>
      <c r="N393" s="69" t="s">
        <v>523</v>
      </c>
      <c r="O393" s="70">
        <v>0.12353465661</v>
      </c>
      <c r="P393" s="70">
        <v>3.1691942410000007E-2</v>
      </c>
      <c r="Q393" s="70">
        <v>0.15544251344000007</v>
      </c>
    </row>
    <row r="394" spans="3:17" ht="270.75">
      <c r="C394" s="321" t="s">
        <v>3318</v>
      </c>
      <c r="D394" s="322"/>
      <c r="E394" s="783"/>
      <c r="F394" s="323" t="s">
        <v>366</v>
      </c>
      <c r="G394" s="319" t="str">
        <f>IFERROR(IF(E394="","",IF(F394="Direct-from-manufacturer",(E394*H394/1000*'Reporting Year &amp; Inflation Adj.'!$F$9),(E394*I394/1000*'Reporting Year &amp; Inflation Adj.'!$F$9))),"")</f>
        <v/>
      </c>
      <c r="H394" s="804">
        <v>0.19846769499000003</v>
      </c>
      <c r="I394" s="805">
        <v>0.19846769499000003</v>
      </c>
      <c r="J394" s="806">
        <v>0</v>
      </c>
      <c r="K394" s="68" t="s">
        <v>411</v>
      </c>
      <c r="L394" s="68" t="s">
        <v>3696</v>
      </c>
      <c r="M394" s="69" t="s">
        <v>397</v>
      </c>
      <c r="N394" s="69" t="s">
        <v>3724</v>
      </c>
      <c r="O394" s="70">
        <v>0.22329488787999996</v>
      </c>
      <c r="P394" s="70">
        <v>0</v>
      </c>
      <c r="Q394" s="70">
        <v>0.22329488787999996</v>
      </c>
    </row>
    <row r="395" spans="3:17" ht="213.75">
      <c r="C395" s="321" t="s">
        <v>3319</v>
      </c>
      <c r="D395" s="322"/>
      <c r="E395" s="783"/>
      <c r="F395" s="323" t="s">
        <v>366</v>
      </c>
      <c r="G395" s="319" t="str">
        <f>IFERROR(IF(E395="","",IF(F395="Direct-from-manufacturer",(E395*H395/1000*'Reporting Year &amp; Inflation Adj.'!$F$9),(E395*I395/1000*'Reporting Year &amp; Inflation Adj.'!$F$9))),"")</f>
        <v/>
      </c>
      <c r="H395" s="804">
        <v>0.19846769499</v>
      </c>
      <c r="I395" s="805">
        <v>0.19846769499</v>
      </c>
      <c r="J395" s="806">
        <v>0</v>
      </c>
      <c r="K395" s="68" t="s">
        <v>413</v>
      </c>
      <c r="L395" s="68" t="s">
        <v>3697</v>
      </c>
      <c r="M395" s="69" t="s">
        <v>397</v>
      </c>
      <c r="N395" s="69" t="s">
        <v>3724</v>
      </c>
      <c r="O395" s="70">
        <v>0.22329488787999999</v>
      </c>
      <c r="P395" s="70">
        <v>0</v>
      </c>
      <c r="Q395" s="70">
        <v>0.22329488787999999</v>
      </c>
    </row>
    <row r="396" spans="3:17" ht="228">
      <c r="C396" s="321" t="s">
        <v>3320</v>
      </c>
      <c r="D396" s="322"/>
      <c r="E396" s="783"/>
      <c r="F396" s="323" t="s">
        <v>366</v>
      </c>
      <c r="G396" s="319" t="str">
        <f>IFERROR(IF(E396="","",IF(F396="Direct-from-manufacturer",(E396*H396/1000*'Reporting Year &amp; Inflation Adj.'!$F$9),(E396*I396/1000*'Reporting Year &amp; Inflation Adj.'!$F$9))),"")</f>
        <v/>
      </c>
      <c r="H396" s="804">
        <v>0.19846769499</v>
      </c>
      <c r="I396" s="805">
        <v>0.19846769499</v>
      </c>
      <c r="J396" s="806">
        <v>0</v>
      </c>
      <c r="K396" s="68" t="s">
        <v>414</v>
      </c>
      <c r="L396" s="68" t="s">
        <v>3698</v>
      </c>
      <c r="M396" s="69" t="s">
        <v>397</v>
      </c>
      <c r="N396" s="69" t="s">
        <v>3724</v>
      </c>
      <c r="O396" s="70">
        <v>0.22329488787999993</v>
      </c>
      <c r="P396" s="70">
        <v>0</v>
      </c>
      <c r="Q396" s="70">
        <v>0.22329488787999993</v>
      </c>
    </row>
    <row r="397" spans="3:17" ht="228">
      <c r="C397" s="321" t="s">
        <v>3321</v>
      </c>
      <c r="D397" s="322"/>
      <c r="E397" s="783"/>
      <c r="F397" s="323" t="s">
        <v>366</v>
      </c>
      <c r="G397" s="319" t="str">
        <f>IFERROR(IF(E397="","",IF(F397="Direct-from-manufacturer",(E397*H397/1000*'Reporting Year &amp; Inflation Adj.'!$F$9),(E397*I397/1000*'Reporting Year &amp; Inflation Adj.'!$F$9))),"")</f>
        <v/>
      </c>
      <c r="H397" s="804">
        <v>0.19846769498999997</v>
      </c>
      <c r="I397" s="805">
        <v>0.19846769498999997</v>
      </c>
      <c r="J397" s="806">
        <v>0</v>
      </c>
      <c r="K397" s="68" t="s">
        <v>415</v>
      </c>
      <c r="L397" s="68" t="s">
        <v>3699</v>
      </c>
      <c r="M397" s="69" t="s">
        <v>397</v>
      </c>
      <c r="N397" s="69" t="s">
        <v>3724</v>
      </c>
      <c r="O397" s="70">
        <v>0.22329488787999999</v>
      </c>
      <c r="P397" s="70">
        <v>0</v>
      </c>
      <c r="Q397" s="70">
        <v>0.22329488787999999</v>
      </c>
    </row>
    <row r="398" spans="3:17" ht="185.25">
      <c r="C398" s="321" t="s">
        <v>3322</v>
      </c>
      <c r="D398" s="322"/>
      <c r="E398" s="783"/>
      <c r="F398" s="323" t="s">
        <v>366</v>
      </c>
      <c r="G398" s="319" t="str">
        <f>IFERROR(IF(E398="","",IF(F398="Direct-from-manufacturer",(E398*H398/1000*'Reporting Year &amp; Inflation Adj.'!$F$9),(E398*I398/1000*'Reporting Year &amp; Inflation Adj.'!$F$9))),"")</f>
        <v/>
      </c>
      <c r="H398" s="804">
        <v>0.19846769499</v>
      </c>
      <c r="I398" s="805">
        <v>0.19846769499</v>
      </c>
      <c r="J398" s="806">
        <v>0</v>
      </c>
      <c r="K398" s="68" t="s">
        <v>416</v>
      </c>
      <c r="L398" s="68" t="s">
        <v>3700</v>
      </c>
      <c r="M398" s="69" t="s">
        <v>397</v>
      </c>
      <c r="N398" s="69" t="s">
        <v>3724</v>
      </c>
      <c r="O398" s="70">
        <v>0.22329488787999999</v>
      </c>
      <c r="P398" s="70">
        <v>0</v>
      </c>
      <c r="Q398" s="70">
        <v>0.22329488787999999</v>
      </c>
    </row>
    <row r="399" spans="3:17" ht="185.25">
      <c r="C399" s="321" t="s">
        <v>3323</v>
      </c>
      <c r="D399" s="322"/>
      <c r="E399" s="783"/>
      <c r="F399" s="323" t="s">
        <v>366</v>
      </c>
      <c r="G399" s="319" t="str">
        <f>IFERROR(IF(E399="","",IF(F399="Direct-from-manufacturer",(E399*H399/1000*'Reporting Year &amp; Inflation Adj.'!$F$9),(E399*I399/1000*'Reporting Year &amp; Inflation Adj.'!$F$9))),"")</f>
        <v/>
      </c>
      <c r="H399" s="804">
        <v>0.19846769498999997</v>
      </c>
      <c r="I399" s="805">
        <v>0.19846769498999997</v>
      </c>
      <c r="J399" s="806">
        <v>0</v>
      </c>
      <c r="K399" s="68" t="s">
        <v>417</v>
      </c>
      <c r="L399" s="68" t="s">
        <v>3701</v>
      </c>
      <c r="M399" s="69" t="s">
        <v>397</v>
      </c>
      <c r="N399" s="69" t="s">
        <v>3724</v>
      </c>
      <c r="O399" s="70">
        <v>0.22329488787999999</v>
      </c>
      <c r="P399" s="70">
        <v>0</v>
      </c>
      <c r="Q399" s="70">
        <v>0.22329488787999999</v>
      </c>
    </row>
    <row r="400" spans="3:17" ht="228">
      <c r="C400" s="321" t="s">
        <v>3324</v>
      </c>
      <c r="D400" s="322"/>
      <c r="E400" s="783"/>
      <c r="F400" s="323" t="s">
        <v>366</v>
      </c>
      <c r="G400" s="319" t="str">
        <f>IFERROR(IF(E400="","",IF(F400="Direct-from-manufacturer",(E400*H400/1000*'Reporting Year &amp; Inflation Adj.'!$F$9),(E400*I400/1000*'Reporting Year &amp; Inflation Adj.'!$F$9))),"")</f>
        <v/>
      </c>
      <c r="H400" s="804">
        <v>0.19846769498999997</v>
      </c>
      <c r="I400" s="805">
        <v>0.19846769498999997</v>
      </c>
      <c r="J400" s="806">
        <v>0</v>
      </c>
      <c r="K400" s="68" t="s">
        <v>418</v>
      </c>
      <c r="L400" s="68" t="s">
        <v>3702</v>
      </c>
      <c r="M400" s="69" t="s">
        <v>397</v>
      </c>
      <c r="N400" s="69" t="s">
        <v>3724</v>
      </c>
      <c r="O400" s="70">
        <v>0.22329488787999993</v>
      </c>
      <c r="P400" s="70">
        <v>0</v>
      </c>
      <c r="Q400" s="70">
        <v>0.22329488787999993</v>
      </c>
    </row>
    <row r="401" spans="3:17" ht="342">
      <c r="C401" s="321" t="s">
        <v>419</v>
      </c>
      <c r="D401" s="322"/>
      <c r="E401" s="783"/>
      <c r="F401" s="323" t="s">
        <v>366</v>
      </c>
      <c r="G401" s="319" t="str">
        <f>IFERROR(IF(E401="","",IF(F401="Direct-from-manufacturer",(E401*H401/1000*'Reporting Year &amp; Inflation Adj.'!$F$9),(E401*I401/1000*'Reporting Year &amp; Inflation Adj.'!$F$9))),"")</f>
        <v/>
      </c>
      <c r="H401" s="804">
        <v>0.19846769498999997</v>
      </c>
      <c r="I401" s="805">
        <v>0.19846769498999997</v>
      </c>
      <c r="J401" s="806">
        <v>0</v>
      </c>
      <c r="K401" s="68" t="s">
        <v>420</v>
      </c>
      <c r="L401" s="68" t="s">
        <v>3703</v>
      </c>
      <c r="M401" s="69" t="s">
        <v>397</v>
      </c>
      <c r="N401" s="69" t="s">
        <v>3725</v>
      </c>
      <c r="O401" s="70">
        <v>0.22329488787999996</v>
      </c>
      <c r="P401" s="70">
        <v>0</v>
      </c>
      <c r="Q401" s="70">
        <v>0.22329488787999996</v>
      </c>
    </row>
    <row r="402" spans="3:17" ht="285">
      <c r="C402" s="321" t="s">
        <v>3325</v>
      </c>
      <c r="D402" s="322"/>
      <c r="E402" s="783"/>
      <c r="F402" s="323" t="s">
        <v>366</v>
      </c>
      <c r="G402" s="319" t="str">
        <f>IFERROR(IF(E402="","",IF(F402="Direct-from-manufacturer",(E402*H402/1000*'Reporting Year &amp; Inflation Adj.'!$F$9),(E402*I402/1000*'Reporting Year &amp; Inflation Adj.'!$F$9))),"")</f>
        <v/>
      </c>
      <c r="H402" s="804">
        <v>0.19846769498999997</v>
      </c>
      <c r="I402" s="805">
        <v>0.19846769498999997</v>
      </c>
      <c r="J402" s="806">
        <v>0</v>
      </c>
      <c r="K402" s="68" t="s">
        <v>421</v>
      </c>
      <c r="L402" s="68" t="s">
        <v>3704</v>
      </c>
      <c r="M402" s="69" t="s">
        <v>397</v>
      </c>
      <c r="N402" s="69" t="s">
        <v>3725</v>
      </c>
      <c r="O402" s="70">
        <v>0.22329488787999999</v>
      </c>
      <c r="P402" s="70">
        <v>0</v>
      </c>
      <c r="Q402" s="70">
        <v>0.22329488787999999</v>
      </c>
    </row>
    <row r="403" spans="3:17" ht="356.25">
      <c r="C403" s="321" t="s">
        <v>3326</v>
      </c>
      <c r="D403" s="322"/>
      <c r="E403" s="783"/>
      <c r="F403" s="323" t="s">
        <v>366</v>
      </c>
      <c r="G403" s="319" t="str">
        <f>IFERROR(IF(E403="","",IF(F403="Direct-from-manufacturer",(E403*H403/1000*'Reporting Year &amp; Inflation Adj.'!$F$9),(E403*I403/1000*'Reporting Year &amp; Inflation Adj.'!$F$9))),"")</f>
        <v/>
      </c>
      <c r="H403" s="804">
        <v>0.19846769499</v>
      </c>
      <c r="I403" s="805">
        <v>0.19846769499</v>
      </c>
      <c r="J403" s="806">
        <v>0</v>
      </c>
      <c r="K403" s="68" t="s">
        <v>422</v>
      </c>
      <c r="L403" s="68" t="s">
        <v>3705</v>
      </c>
      <c r="M403" s="69" t="s">
        <v>397</v>
      </c>
      <c r="N403" s="69" t="s">
        <v>3725</v>
      </c>
      <c r="O403" s="70">
        <v>0.22329488787999999</v>
      </c>
      <c r="P403" s="70">
        <v>0</v>
      </c>
      <c r="Q403" s="70">
        <v>0.22329488787999999</v>
      </c>
    </row>
    <row r="404" spans="3:17" ht="313.5">
      <c r="C404" s="321" t="s">
        <v>3327</v>
      </c>
      <c r="D404" s="322"/>
      <c r="E404" s="783"/>
      <c r="F404" s="323" t="s">
        <v>366</v>
      </c>
      <c r="G404" s="319" t="str">
        <f>IFERROR(IF(E404="","",IF(F404="Direct-from-manufacturer",(E404*H404/1000*'Reporting Year &amp; Inflation Adj.'!$F$9),(E404*I404/1000*'Reporting Year &amp; Inflation Adj.'!$F$9))),"")</f>
        <v/>
      </c>
      <c r="H404" s="804">
        <v>0.19846769499</v>
      </c>
      <c r="I404" s="805">
        <v>0.19846769499</v>
      </c>
      <c r="J404" s="806">
        <v>0</v>
      </c>
      <c r="K404" s="68" t="s">
        <v>423</v>
      </c>
      <c r="L404" s="68" t="s">
        <v>3706</v>
      </c>
      <c r="M404" s="69" t="s">
        <v>397</v>
      </c>
      <c r="N404" s="69" t="s">
        <v>3725</v>
      </c>
      <c r="O404" s="70">
        <v>0.22329488787999996</v>
      </c>
      <c r="P404" s="70">
        <v>0</v>
      </c>
      <c r="Q404" s="70">
        <v>0.22329488787999996</v>
      </c>
    </row>
    <row r="405" spans="3:17" ht="213.75">
      <c r="C405" s="321" t="s">
        <v>424</v>
      </c>
      <c r="D405" s="322"/>
      <c r="E405" s="783"/>
      <c r="F405" s="323" t="s">
        <v>366</v>
      </c>
      <c r="G405" s="319" t="str">
        <f>IFERROR(IF(E405="","",IF(F405="Direct-from-manufacturer",(E405*H405/1000*'Reporting Year &amp; Inflation Adj.'!$F$9),(E405*I405/1000*'Reporting Year &amp; Inflation Adj.'!$F$9))),"")</f>
        <v/>
      </c>
      <c r="H405" s="804">
        <v>0.19846769499</v>
      </c>
      <c r="I405" s="805">
        <v>0.19846769499</v>
      </c>
      <c r="J405" s="806">
        <v>0</v>
      </c>
      <c r="K405" s="68" t="s">
        <v>425</v>
      </c>
      <c r="L405" s="68" t="s">
        <v>3707</v>
      </c>
      <c r="M405" s="69" t="s">
        <v>397</v>
      </c>
      <c r="N405" s="69" t="s">
        <v>3725</v>
      </c>
      <c r="O405" s="70">
        <v>0.22329488787999996</v>
      </c>
      <c r="P405" s="70">
        <v>0</v>
      </c>
      <c r="Q405" s="70">
        <v>0.22329488787999996</v>
      </c>
    </row>
    <row r="406" spans="3:17" ht="213.75">
      <c r="C406" s="321" t="s">
        <v>426</v>
      </c>
      <c r="D406" s="322"/>
      <c r="E406" s="783"/>
      <c r="F406" s="323" t="s">
        <v>366</v>
      </c>
      <c r="G406" s="319" t="str">
        <f>IFERROR(IF(E406="","",IF(F406="Direct-from-manufacturer",(E406*H406/1000*'Reporting Year &amp; Inflation Adj.'!$F$9),(E406*I406/1000*'Reporting Year &amp; Inflation Adj.'!$F$9))),"")</f>
        <v/>
      </c>
      <c r="H406" s="804">
        <v>0.19846769498999997</v>
      </c>
      <c r="I406" s="805">
        <v>0.19846769498999997</v>
      </c>
      <c r="J406" s="806">
        <v>0</v>
      </c>
      <c r="K406" s="68" t="s">
        <v>427</v>
      </c>
      <c r="L406" s="68" t="s">
        <v>3708</v>
      </c>
      <c r="M406" s="69" t="s">
        <v>397</v>
      </c>
      <c r="N406" s="69" t="s">
        <v>3726</v>
      </c>
      <c r="O406" s="70">
        <v>0.22329488787999993</v>
      </c>
      <c r="P406" s="70">
        <v>0</v>
      </c>
      <c r="Q406" s="70">
        <v>0.22329488787999993</v>
      </c>
    </row>
    <row r="407" spans="3:17" ht="228">
      <c r="C407" s="321" t="s">
        <v>428</v>
      </c>
      <c r="D407" s="322"/>
      <c r="E407" s="783"/>
      <c r="F407" s="323" t="s">
        <v>366</v>
      </c>
      <c r="G407" s="319" t="str">
        <f>IFERROR(IF(E407="","",IF(F407="Direct-from-manufacturer",(E407*H407/1000*'Reporting Year &amp; Inflation Adj.'!$F$9),(E407*I407/1000*'Reporting Year &amp; Inflation Adj.'!$F$9))),"")</f>
        <v/>
      </c>
      <c r="H407" s="804">
        <v>0.19846769499</v>
      </c>
      <c r="I407" s="805">
        <v>0.19846769499</v>
      </c>
      <c r="J407" s="806">
        <v>0</v>
      </c>
      <c r="K407" s="68" t="s">
        <v>429</v>
      </c>
      <c r="L407" s="68" t="s">
        <v>3709</v>
      </c>
      <c r="M407" s="69" t="s">
        <v>397</v>
      </c>
      <c r="N407" s="69" t="s">
        <v>3726</v>
      </c>
      <c r="O407" s="70">
        <v>0.22329488787999996</v>
      </c>
      <c r="P407" s="70">
        <v>0</v>
      </c>
      <c r="Q407" s="70">
        <v>0.22329488787999996</v>
      </c>
    </row>
    <row r="408" spans="3:17" ht="256.5">
      <c r="C408" s="321" t="s">
        <v>430</v>
      </c>
      <c r="D408" s="322"/>
      <c r="E408" s="783"/>
      <c r="F408" s="323" t="s">
        <v>366</v>
      </c>
      <c r="G408" s="319" t="str">
        <f>IFERROR(IF(E408="","",IF(F408="Direct-from-manufacturer",(E408*H408/1000*'Reporting Year &amp; Inflation Adj.'!$F$9),(E408*I408/1000*'Reporting Year &amp; Inflation Adj.'!$F$9))),"")</f>
        <v/>
      </c>
      <c r="H408" s="804">
        <v>0.19846769499</v>
      </c>
      <c r="I408" s="805">
        <v>0.19846769499</v>
      </c>
      <c r="J408" s="806">
        <v>0</v>
      </c>
      <c r="K408" s="68" t="s">
        <v>431</v>
      </c>
      <c r="L408" s="68" t="s">
        <v>3710</v>
      </c>
      <c r="M408" s="69" t="s">
        <v>397</v>
      </c>
      <c r="N408" s="69" t="s">
        <v>3726</v>
      </c>
      <c r="O408" s="70">
        <v>0.22329488787999996</v>
      </c>
      <c r="P408" s="70">
        <v>0</v>
      </c>
      <c r="Q408" s="70">
        <v>0.22329488787999996</v>
      </c>
    </row>
    <row r="409" spans="3:17" ht="285">
      <c r="C409" s="321" t="s">
        <v>432</v>
      </c>
      <c r="D409" s="322"/>
      <c r="E409" s="783"/>
      <c r="F409" s="323" t="s">
        <v>366</v>
      </c>
      <c r="G409" s="319" t="str">
        <f>IFERROR(IF(E409="","",IF(F409="Direct-from-manufacturer",(E409*H409/1000*'Reporting Year &amp; Inflation Adj.'!$F$9),(E409*I409/1000*'Reporting Year &amp; Inflation Adj.'!$F$9))),"")</f>
        <v/>
      </c>
      <c r="H409" s="804">
        <v>0.19846769498999997</v>
      </c>
      <c r="I409" s="805">
        <v>0.19846769498999997</v>
      </c>
      <c r="J409" s="806">
        <v>0</v>
      </c>
      <c r="K409" s="68" t="s">
        <v>433</v>
      </c>
      <c r="L409" s="68" t="s">
        <v>3711</v>
      </c>
      <c r="M409" s="69" t="s">
        <v>397</v>
      </c>
      <c r="N409" s="69" t="s">
        <v>3726</v>
      </c>
      <c r="O409" s="70">
        <v>0.22329488787999996</v>
      </c>
      <c r="P409" s="70">
        <v>0</v>
      </c>
      <c r="Q409" s="70">
        <v>0.22329488787999996</v>
      </c>
    </row>
    <row r="410" spans="3:17" ht="384.75">
      <c r="C410" s="321" t="s">
        <v>434</v>
      </c>
      <c r="D410" s="322"/>
      <c r="E410" s="783"/>
      <c r="F410" s="323" t="s">
        <v>366</v>
      </c>
      <c r="G410" s="319" t="str">
        <f>IFERROR(IF(E410="","",IF(F410="Direct-from-manufacturer",(E410*H410/1000*'Reporting Year &amp; Inflation Adj.'!$F$9),(E410*I410/1000*'Reporting Year &amp; Inflation Adj.'!$F$9))),"")</f>
        <v/>
      </c>
      <c r="H410" s="804">
        <v>0.19846769499</v>
      </c>
      <c r="I410" s="805">
        <v>0.19846769499</v>
      </c>
      <c r="J410" s="806">
        <v>0</v>
      </c>
      <c r="K410" s="68" t="s">
        <v>435</v>
      </c>
      <c r="L410" s="68" t="s">
        <v>3712</v>
      </c>
      <c r="M410" s="69" t="s">
        <v>397</v>
      </c>
      <c r="N410" s="69" t="s">
        <v>3727</v>
      </c>
      <c r="O410" s="70">
        <v>0.22329488787999999</v>
      </c>
      <c r="P410" s="70">
        <v>0</v>
      </c>
      <c r="Q410" s="70">
        <v>0.22329488787999999</v>
      </c>
    </row>
    <row r="411" spans="3:17" ht="327.75">
      <c r="C411" s="321" t="s">
        <v>436</v>
      </c>
      <c r="D411" s="322"/>
      <c r="E411" s="783"/>
      <c r="F411" s="323" t="s">
        <v>366</v>
      </c>
      <c r="G411" s="319" t="str">
        <f>IFERROR(IF(E411="","",IF(F411="Direct-from-manufacturer",(E411*H411/1000*'Reporting Year &amp; Inflation Adj.'!$F$9),(E411*I411/1000*'Reporting Year &amp; Inflation Adj.'!$F$9))),"")</f>
        <v/>
      </c>
      <c r="H411" s="804">
        <v>0.19846769498999997</v>
      </c>
      <c r="I411" s="805">
        <v>0.19846769498999997</v>
      </c>
      <c r="J411" s="806">
        <v>0</v>
      </c>
      <c r="K411" s="68" t="s">
        <v>437</v>
      </c>
      <c r="L411" s="68" t="s">
        <v>3713</v>
      </c>
      <c r="M411" s="69" t="s">
        <v>397</v>
      </c>
      <c r="N411" s="69" t="s">
        <v>3727</v>
      </c>
      <c r="O411" s="70">
        <v>0.22329488787999996</v>
      </c>
      <c r="P411" s="70">
        <v>0</v>
      </c>
      <c r="Q411" s="70">
        <v>0.22329488787999996</v>
      </c>
    </row>
    <row r="412" spans="3:17">
      <c r="G412" s="30"/>
    </row>
    <row r="413" spans="3:17">
      <c r="G413" s="30"/>
    </row>
  </sheetData>
  <sheetProtection algorithmName="SHA-512" hashValue="02WOHYFGP9uKyuusCmWuDYHWTtXrOj4qXDA7LL5rTw146A5ur1wUY1qCxWksVBGanQfR75TTXQmrB5wPxFP3+A==" saltValue="QXAWWai5f4eeqD2mJaYq8Q==" spinCount="100000" sheet="1" autoFilter="0"/>
  <mergeCells count="2">
    <mergeCell ref="A7:M8"/>
    <mergeCell ref="A16:B17"/>
  </mergeCells>
  <dataValidations count="2">
    <dataValidation allowBlank="1" showInputMessage="1" showErrorMessage="1" prompt="Add total annual volume of water usage in gallons" sqref="D42:E42" xr:uid="{36A0F6E6-C56B-4D07-8F24-BCF30DCA3444}"/>
    <dataValidation type="list" allowBlank="1" showInputMessage="1" showErrorMessage="1" sqref="F19 F21 F24:F29 F31:F32 F34 F36:F37 F39:F51 F56:F64 F67:F68 F70:F71 F76:F77 F80:F81 F83:F86 F88:F92 F94:F98 F100:F101 F103 F105:F108 F111 F113 F115 F119:F121 F123:F130 F132:F137 F142 F144 F146 F149 F151:F152 F155:F157 F159:F161 F167:F168 F172:F176 F182:F185 F187:F188 F192:F196 F198:F200 F202:F203 F206:F207 F209 F211:F221 F223 F225:F228 F232 F235 F237 F241:F249 F251 F254:F255 F257 F259:F260 F263:F264 F267:F269 F271:F276 F278 F280 F282 F284 F286:F293 F295:F301 F304 F306:F309 F313:F314 F316:F317 F320:F325 F327:F332 F334:F340 F342:F344 F346:F354 F356:F367 F369:F375 F378 F380 F382:F383 F386:F388 F390:F393" xr:uid="{66730C45-F36A-43F7-BBA5-854EC0C0F3D0}">
      <formula1>"Wholesaler / Retailer / Distributer, Direct-from-manufacturer"</formula1>
    </dataValidation>
  </dataValidations>
  <pageMargins left="0.7" right="0.7" top="0.75" bottom="0.75" header="0.3" footer="0.3"/>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2297C6-531D-4AF3-9A51-AE7BD6F22429}">
  <sheetPr codeName="Sheet17">
    <tabColor theme="3" tint="0.59999389629810485"/>
  </sheetPr>
  <dimension ref="A1:X237"/>
  <sheetViews>
    <sheetView showGridLines="0" zoomScale="85" zoomScaleNormal="85" workbookViewId="0"/>
  </sheetViews>
  <sheetFormatPr defaultColWidth="9" defaultRowHeight="15"/>
  <cols>
    <col min="1" max="1" width="35" style="30" customWidth="1"/>
    <col min="2" max="2" width="37.625" style="30" customWidth="1"/>
    <col min="3" max="3" width="31" style="30" customWidth="1"/>
    <col min="4" max="4" width="28.625" style="71" customWidth="1"/>
    <col min="5" max="5" width="18.375" style="44" customWidth="1"/>
    <col min="6" max="6" width="28.625" style="30" customWidth="1"/>
    <col min="7" max="7" width="20.875" style="41" customWidth="1"/>
    <col min="8" max="8" width="25.625" style="42" customWidth="1"/>
    <col min="9" max="9" width="26.625" style="42" customWidth="1"/>
    <col min="10" max="10" width="11.125" style="42" customWidth="1"/>
    <col min="11" max="11" width="21.625" style="51" hidden="1" customWidth="1"/>
    <col min="12" max="12" width="76.625" customWidth="1"/>
    <col min="13" max="13" width="68.625" style="41" hidden="1" customWidth="1"/>
    <col min="14" max="14" width="19.125" style="30" hidden="1" customWidth="1"/>
    <col min="15" max="15" width="21.875" style="30" hidden="1" customWidth="1"/>
    <col min="16" max="16" width="18" style="30" hidden="1" customWidth="1"/>
    <col min="17" max="17" width="16.125" style="30" hidden="1" customWidth="1"/>
    <col min="18" max="18" width="14.125" style="30" customWidth="1"/>
    <col min="19" max="16384" width="9" style="30"/>
  </cols>
  <sheetData>
    <row r="1" spans="1:24" ht="20.25">
      <c r="A1" s="23" t="s">
        <v>1158</v>
      </c>
      <c r="B1" s="24"/>
      <c r="C1" s="25"/>
      <c r="D1" s="26"/>
      <c r="E1" s="25"/>
      <c r="F1" s="24"/>
      <c r="G1" s="24"/>
      <c r="H1" s="27"/>
      <c r="I1" s="27"/>
      <c r="J1" s="28"/>
      <c r="K1" s="29"/>
      <c r="L1" s="24"/>
      <c r="M1" s="24"/>
      <c r="N1" s="24"/>
      <c r="O1" s="24"/>
      <c r="P1" s="24"/>
      <c r="Q1" s="24"/>
    </row>
    <row r="2" spans="1:24">
      <c r="A2" s="31" t="s">
        <v>304</v>
      </c>
      <c r="B2" s="32"/>
      <c r="C2" s="33"/>
      <c r="D2" s="34"/>
      <c r="E2" s="33"/>
      <c r="F2" s="32"/>
      <c r="G2" s="32"/>
      <c r="H2" s="35"/>
      <c r="I2" s="35"/>
      <c r="J2" s="36"/>
      <c r="K2" s="37"/>
      <c r="L2" s="32"/>
      <c r="M2" s="32"/>
      <c r="N2" s="32"/>
      <c r="O2" s="32"/>
      <c r="P2" s="32"/>
      <c r="Q2" s="32"/>
    </row>
    <row r="3" spans="1:24">
      <c r="A3" s="38" t="s">
        <v>305</v>
      </c>
      <c r="B3" s="32"/>
      <c r="C3" s="33"/>
      <c r="D3" s="34"/>
      <c r="E3" s="33"/>
      <c r="F3" s="32"/>
      <c r="G3" s="32"/>
      <c r="H3" s="35"/>
      <c r="I3" s="35"/>
      <c r="J3" s="36"/>
      <c r="K3" s="37"/>
      <c r="L3" s="32"/>
      <c r="M3" s="32"/>
      <c r="N3" s="32"/>
      <c r="O3" s="32"/>
      <c r="P3" s="32"/>
      <c r="Q3" s="32"/>
    </row>
    <row r="4" spans="1:24">
      <c r="A4" s="38"/>
      <c r="B4" s="32"/>
      <c r="C4" s="33"/>
      <c r="D4" s="34"/>
      <c r="E4" s="33"/>
      <c r="F4" s="32"/>
      <c r="G4" s="32"/>
      <c r="H4" s="35"/>
      <c r="I4" s="35"/>
      <c r="J4" s="36"/>
      <c r="K4" s="37"/>
      <c r="L4" s="32"/>
      <c r="M4" s="32"/>
      <c r="N4" s="32"/>
      <c r="O4" s="32"/>
      <c r="P4" s="32"/>
      <c r="Q4" s="32"/>
    </row>
    <row r="5" spans="1:24">
      <c r="A5" s="38" t="s">
        <v>306</v>
      </c>
      <c r="B5" s="32"/>
      <c r="C5" s="33"/>
      <c r="D5" s="34"/>
      <c r="E5" s="33"/>
      <c r="F5" s="32"/>
      <c r="G5" s="32"/>
      <c r="H5" s="35"/>
      <c r="I5" s="35"/>
      <c r="J5" s="36"/>
      <c r="K5" s="37"/>
      <c r="L5" s="32"/>
      <c r="M5" s="32"/>
      <c r="N5" s="32"/>
      <c r="O5" s="32"/>
      <c r="P5" s="32"/>
      <c r="Q5" s="32"/>
    </row>
    <row r="6" spans="1:24">
      <c r="A6" s="38" t="s">
        <v>307</v>
      </c>
      <c r="B6" s="32"/>
      <c r="C6" s="33"/>
      <c r="D6" s="34"/>
      <c r="E6" s="33"/>
      <c r="F6" s="32"/>
      <c r="G6" s="32"/>
      <c r="H6" s="35"/>
      <c r="I6" s="35"/>
      <c r="J6" s="36"/>
      <c r="K6" s="37"/>
      <c r="L6" s="32"/>
      <c r="M6" s="32"/>
      <c r="N6" s="32"/>
      <c r="O6" s="32"/>
      <c r="P6" s="32"/>
      <c r="Q6" s="32"/>
    </row>
    <row r="7" spans="1:24" ht="14.25">
      <c r="A7" s="1547" t="s">
        <v>308</v>
      </c>
      <c r="B7" s="1547"/>
      <c r="C7" s="1547"/>
      <c r="D7" s="1547"/>
      <c r="E7" s="1547"/>
      <c r="F7" s="1547"/>
      <c r="G7" s="1547"/>
      <c r="H7" s="1547"/>
      <c r="I7" s="1547"/>
      <c r="J7" s="1547"/>
      <c r="K7" s="1547"/>
      <c r="L7" s="1547"/>
      <c r="M7" s="1547"/>
      <c r="N7" s="32"/>
      <c r="O7" s="32"/>
      <c r="P7" s="32"/>
      <c r="Q7" s="32"/>
      <c r="V7" s="39"/>
    </row>
    <row r="8" spans="1:24" ht="14.25">
      <c r="A8" s="1547"/>
      <c r="B8" s="1547"/>
      <c r="C8" s="1547"/>
      <c r="D8" s="1547"/>
      <c r="E8" s="1547"/>
      <c r="F8" s="1547"/>
      <c r="G8" s="1547"/>
      <c r="H8" s="1547"/>
      <c r="I8" s="1547"/>
      <c r="J8" s="1547"/>
      <c r="K8" s="1547"/>
      <c r="L8" s="1547"/>
      <c r="M8" s="1547"/>
      <c r="N8" s="32"/>
      <c r="O8" s="32"/>
      <c r="P8" s="32"/>
      <c r="Q8" s="32"/>
    </row>
    <row r="9" spans="1:24" ht="16.5" customHeight="1">
      <c r="A9" s="40"/>
      <c r="B9" s="40"/>
      <c r="C9" s="40"/>
      <c r="D9" s="40"/>
      <c r="E9" s="40"/>
      <c r="F9" s="40"/>
      <c r="G9" s="40"/>
      <c r="H9" s="40"/>
      <c r="I9" s="40"/>
      <c r="J9" s="40"/>
      <c r="K9" s="40"/>
      <c r="L9" s="30"/>
      <c r="N9" s="42"/>
      <c r="O9" s="42"/>
      <c r="P9" s="42"/>
      <c r="Q9" s="42"/>
      <c r="T9" s="41"/>
      <c r="W9" s="41"/>
      <c r="X9" s="41"/>
    </row>
    <row r="10" spans="1:24" ht="16.5" customHeight="1">
      <c r="A10" s="40"/>
      <c r="B10" s="40"/>
      <c r="C10" s="40"/>
      <c r="D10" s="40"/>
      <c r="E10" s="40"/>
      <c r="F10" s="40"/>
      <c r="G10" s="40"/>
      <c r="H10" s="40"/>
      <c r="I10" s="40"/>
      <c r="J10" s="40"/>
      <c r="K10" s="40"/>
      <c r="L10" s="30"/>
      <c r="N10" s="42"/>
      <c r="O10" s="42"/>
      <c r="P10" s="42"/>
      <c r="Q10" s="42"/>
      <c r="T10" s="41"/>
      <c r="W10" s="41"/>
      <c r="X10" s="41"/>
    </row>
    <row r="11" spans="1:24" ht="16.5" customHeight="1">
      <c r="A11" s="40"/>
      <c r="B11" s="40"/>
      <c r="C11" s="40"/>
      <c r="D11" s="40"/>
      <c r="E11" s="40"/>
      <c r="F11" s="40"/>
      <c r="G11" s="40"/>
      <c r="H11" s="40"/>
      <c r="I11" s="40"/>
      <c r="J11" s="40"/>
      <c r="K11" s="40"/>
      <c r="L11" s="30"/>
      <c r="N11" s="42"/>
      <c r="O11" s="42"/>
      <c r="P11" s="42"/>
      <c r="Q11" s="42"/>
      <c r="T11" s="41"/>
      <c r="U11" s="43"/>
      <c r="W11" s="41"/>
      <c r="X11" s="41"/>
    </row>
    <row r="12" spans="1:24" ht="16.5" customHeight="1">
      <c r="C12" s="44"/>
      <c r="D12" s="45"/>
      <c r="K12" s="46"/>
      <c r="L12" s="30"/>
      <c r="N12" s="42"/>
      <c r="O12" s="42"/>
      <c r="P12" s="42"/>
      <c r="Q12" s="42"/>
      <c r="T12" s="41"/>
      <c r="W12" s="41"/>
      <c r="X12" s="41"/>
    </row>
    <row r="13" spans="1:24" ht="16.5" customHeight="1">
      <c r="C13" s="44"/>
      <c r="D13" s="45"/>
      <c r="K13" s="46"/>
      <c r="L13" s="30"/>
      <c r="N13" s="42"/>
      <c r="O13" s="42"/>
      <c r="P13" s="42"/>
      <c r="Q13" s="42"/>
      <c r="T13" s="41"/>
      <c r="W13" s="41"/>
      <c r="X13" s="41"/>
    </row>
    <row r="14" spans="1:24" ht="16.5" customHeight="1">
      <c r="C14" s="44"/>
      <c r="D14" s="45"/>
      <c r="K14" s="46"/>
      <c r="L14" s="30"/>
      <c r="N14" s="42"/>
      <c r="O14" s="42"/>
      <c r="P14" s="42"/>
      <c r="Q14" s="42"/>
      <c r="T14" s="41"/>
      <c r="W14" s="41"/>
      <c r="X14" s="41"/>
    </row>
    <row r="15" spans="1:24" ht="16.5" customHeight="1">
      <c r="C15" s="44"/>
      <c r="D15" s="45"/>
      <c r="K15" s="46"/>
      <c r="L15" s="30"/>
      <c r="N15" s="42"/>
      <c r="O15" s="42"/>
      <c r="P15" s="42"/>
      <c r="Q15" s="42"/>
      <c r="T15" s="41"/>
      <c r="W15" s="41"/>
      <c r="X15" s="41"/>
    </row>
    <row r="16" spans="1:24" ht="23.25">
      <c r="A16" s="1548" t="s">
        <v>309</v>
      </c>
      <c r="B16" s="1548"/>
      <c r="D16" s="47"/>
      <c r="E16" s="47"/>
      <c r="F16" s="48"/>
      <c r="G16" s="49" t="s">
        <v>310</v>
      </c>
      <c r="J16" s="50"/>
      <c r="L16" s="41"/>
      <c r="M16" s="30"/>
      <c r="O16" s="30" t="s">
        <v>311</v>
      </c>
    </row>
    <row r="17" spans="1:17" ht="43.5">
      <c r="A17" s="1548"/>
      <c r="B17" s="1548"/>
      <c r="D17" s="52" t="s">
        <v>312</v>
      </c>
      <c r="E17" s="52" t="s">
        <v>312</v>
      </c>
      <c r="F17" s="53" t="s">
        <v>312</v>
      </c>
      <c r="G17" s="54">
        <f>SUM(Table31021[Emissions (MTCO2e)])</f>
        <v>0</v>
      </c>
      <c r="H17" s="55" t="s">
        <v>313</v>
      </c>
      <c r="I17" s="55" t="s">
        <v>314</v>
      </c>
      <c r="L17" s="30"/>
      <c r="M17" s="30"/>
      <c r="O17" s="56" t="s">
        <v>315</v>
      </c>
      <c r="P17" s="56" t="s">
        <v>316</v>
      </c>
      <c r="Q17" s="56" t="s">
        <v>317</v>
      </c>
    </row>
    <row r="18" spans="1:17" s="791" customFormat="1" ht="96.75" customHeight="1">
      <c r="A18"/>
      <c r="B18"/>
      <c r="C18" s="58" t="s">
        <v>318</v>
      </c>
      <c r="D18" s="59" t="s">
        <v>319</v>
      </c>
      <c r="E18" s="59" t="s">
        <v>320</v>
      </c>
      <c r="F18" s="60" t="s">
        <v>321</v>
      </c>
      <c r="G18" s="61" t="s">
        <v>322</v>
      </c>
      <c r="H18" s="62" t="s">
        <v>3728</v>
      </c>
      <c r="I18" s="62" t="s">
        <v>3729</v>
      </c>
      <c r="J18" s="63" t="s">
        <v>323</v>
      </c>
      <c r="K18" s="64" t="s">
        <v>324</v>
      </c>
      <c r="L18" s="65" t="s">
        <v>325</v>
      </c>
      <c r="M18" s="66" t="s">
        <v>258</v>
      </c>
      <c r="N18" s="66" t="s">
        <v>326</v>
      </c>
      <c r="O18" s="67" t="s">
        <v>327</v>
      </c>
      <c r="P18" s="67" t="s">
        <v>328</v>
      </c>
      <c r="Q18" s="67" t="s">
        <v>329</v>
      </c>
    </row>
    <row r="19" spans="1:17" ht="57">
      <c r="C19" s="321" t="s">
        <v>713</v>
      </c>
      <c r="D19" s="322"/>
      <c r="E19" s="783"/>
      <c r="F19" s="325"/>
      <c r="G19" s="319" t="str">
        <f>IFERROR(IF(E19="","",IF(F19="Direct-from-manufacturer",(E19*H19/1000*'Reporting Year &amp; Inflation Adj.'!$F$9),(E19*I19/1000*'Reporting Year &amp; Inflation Adj.'!$F$9))),"")</f>
        <v/>
      </c>
      <c r="H19" s="790">
        <v>0.12802140084000002</v>
      </c>
      <c r="I19" s="793">
        <v>0.14459936384500002</v>
      </c>
      <c r="J19" s="324">
        <v>0.11533539890173365</v>
      </c>
      <c r="K19" s="790">
        <v>0</v>
      </c>
      <c r="L19" s="68" t="s">
        <v>3333</v>
      </c>
      <c r="M19" s="69" t="s">
        <v>440</v>
      </c>
      <c r="N19" s="69" t="s">
        <v>715</v>
      </c>
      <c r="O19" s="70">
        <v>0.15839953312999999</v>
      </c>
      <c r="P19" s="70">
        <v>1.9712300529999997E-2</v>
      </c>
      <c r="Q19" s="70">
        <v>0.17873595745999998</v>
      </c>
    </row>
    <row r="20" spans="1:17" ht="99.75">
      <c r="C20" s="321" t="s">
        <v>699</v>
      </c>
      <c r="D20" s="322"/>
      <c r="E20" s="783"/>
      <c r="F20" s="325"/>
      <c r="G20" s="319" t="str">
        <f>IFERROR(IF(E20="","",IF(F20="Direct-from-manufacturer",(E20*H20/1000*'Reporting Year &amp; Inflation Adj.'!$F$9),(E20*I20/1000*'Reporting Year &amp; Inflation Adj.'!$F$9))),"")</f>
        <v/>
      </c>
      <c r="H20" s="790">
        <v>0.15041488132000005</v>
      </c>
      <c r="I20" s="793">
        <v>0.17434141682500001</v>
      </c>
      <c r="J20" s="324">
        <v>0.13977132711075746</v>
      </c>
      <c r="K20" s="68">
        <v>333415</v>
      </c>
      <c r="L20" s="68" t="s">
        <v>3334</v>
      </c>
      <c r="M20" s="69" t="s">
        <v>440</v>
      </c>
      <c r="N20" s="69" t="s">
        <v>697</v>
      </c>
      <c r="O20" s="70">
        <v>0.15945569237000004</v>
      </c>
      <c r="P20" s="70">
        <v>2.8402677830000004E-2</v>
      </c>
      <c r="Q20" s="70">
        <v>0.18819985696999997</v>
      </c>
    </row>
    <row r="21" spans="1:17" ht="99.75">
      <c r="C21" s="321" t="s">
        <v>695</v>
      </c>
      <c r="D21" s="322"/>
      <c r="E21" s="783"/>
      <c r="F21" s="325"/>
      <c r="G21" s="319" t="str">
        <f>IFERROR(IF(E21="","",IF(F21="Direct-from-manufacturer",(E21*H21/1000*'Reporting Year &amp; Inflation Adj.'!$F$9),(E21*I21/1000*'Reporting Year &amp; Inflation Adj.'!$F$9))),"")</f>
        <v/>
      </c>
      <c r="H21" s="790">
        <v>0.16221502102499999</v>
      </c>
      <c r="I21" s="793">
        <v>0.18498200331</v>
      </c>
      <c r="J21" s="324">
        <v>0.12357977057741272</v>
      </c>
      <c r="K21" s="68">
        <v>333413</v>
      </c>
      <c r="L21" s="68" t="s">
        <v>3335</v>
      </c>
      <c r="M21" s="69" t="s">
        <v>440</v>
      </c>
      <c r="N21" s="69" t="s">
        <v>697</v>
      </c>
      <c r="O21" s="70">
        <v>0.18522373465</v>
      </c>
      <c r="P21" s="70">
        <v>2.545976719E-2</v>
      </c>
      <c r="Q21" s="70">
        <v>0.21067470106000002</v>
      </c>
    </row>
    <row r="22" spans="1:17" ht="71.25">
      <c r="C22" s="321" t="s">
        <v>800</v>
      </c>
      <c r="D22" s="322"/>
      <c r="E22" s="783"/>
      <c r="F22" s="325"/>
      <c r="G22" s="319" t="str">
        <f>IFERROR(IF(E22="","",IF(F22="Direct-from-manufacturer",(E22*H22/1000*'Reporting Year &amp; Inflation Adj.'!$F$9),(E22*I22/1000*'Reporting Year &amp; Inflation Adj.'!$F$9))),"")</f>
        <v/>
      </c>
      <c r="H22" s="790">
        <v>0.11809334772499998</v>
      </c>
      <c r="I22" s="793">
        <v>0.12625637168500001</v>
      </c>
      <c r="J22" s="324">
        <v>6.5457923795871828E-2</v>
      </c>
      <c r="K22" s="68">
        <v>336411</v>
      </c>
      <c r="L22" s="68" t="s">
        <v>3336</v>
      </c>
      <c r="M22" s="69" t="s">
        <v>440</v>
      </c>
      <c r="N22" s="69" t="s">
        <v>802</v>
      </c>
      <c r="O22" s="70">
        <v>0.13127988367999999</v>
      </c>
      <c r="P22" s="70">
        <v>8.6784493709999994E-3</v>
      </c>
      <c r="Q22" s="70">
        <v>0.14061782380999996</v>
      </c>
    </row>
    <row r="23" spans="1:17" ht="85.5">
      <c r="C23" s="321" t="s">
        <v>803</v>
      </c>
      <c r="D23" s="322"/>
      <c r="E23" s="783"/>
      <c r="F23" s="325"/>
      <c r="G23" s="319" t="str">
        <f>IFERROR(IF(E23="","",IF(F23="Direct-from-manufacturer",(E23*H23/1000*'Reporting Year &amp; Inflation Adj.'!$F$9),(E23*I23/1000*'Reporting Year &amp; Inflation Adj.'!$F$9))),"")</f>
        <v/>
      </c>
      <c r="H23" s="790">
        <v>0.13375543767</v>
      </c>
      <c r="I23" s="793">
        <v>0.13847475140999999</v>
      </c>
      <c r="J23" s="324">
        <v>3.6946879477340815E-2</v>
      </c>
      <c r="K23" s="68">
        <v>336412</v>
      </c>
      <c r="L23" s="68" t="s">
        <v>3337</v>
      </c>
      <c r="M23" s="69" t="s">
        <v>440</v>
      </c>
      <c r="N23" s="69" t="s">
        <v>802</v>
      </c>
      <c r="O23" s="70">
        <v>0.15142851339999999</v>
      </c>
      <c r="P23" s="70">
        <v>5.3536557469999997E-3</v>
      </c>
      <c r="Q23" s="70">
        <v>0.15727684065</v>
      </c>
    </row>
    <row r="24" spans="1:17" ht="128.25">
      <c r="C24" s="321" t="s">
        <v>638</v>
      </c>
      <c r="D24" s="322"/>
      <c r="E24" s="783"/>
      <c r="F24" s="325"/>
      <c r="G24" s="319" t="str">
        <f>IFERROR(IF(E24="","",IF(F24="Direct-from-manufacturer",(E24*H24/1000*'Reporting Year &amp; Inflation Adj.'!$F$9),(E24*I24/1000*'Reporting Year &amp; Inflation Adj.'!$F$9))),"")</f>
        <v/>
      </c>
      <c r="H24" s="790">
        <v>0.44643721917999996</v>
      </c>
      <c r="I24" s="793">
        <v>0.46958829207000002</v>
      </c>
      <c r="J24" s="324">
        <v>4.8699807876792227E-2</v>
      </c>
      <c r="K24" s="68" t="s">
        <v>639</v>
      </c>
      <c r="L24" s="68" t="s">
        <v>3341</v>
      </c>
      <c r="M24" s="69" t="s">
        <v>440</v>
      </c>
      <c r="N24" s="69" t="s">
        <v>640</v>
      </c>
      <c r="O24" s="70">
        <v>0.47232229399000003</v>
      </c>
      <c r="P24" s="70">
        <v>2.3171647508000003E-2</v>
      </c>
      <c r="Q24" s="70">
        <v>0.49489836366000012</v>
      </c>
    </row>
    <row r="25" spans="1:17" ht="71.25">
      <c r="C25" s="321" t="s">
        <v>751</v>
      </c>
      <c r="D25" s="322"/>
      <c r="E25" s="783"/>
      <c r="F25" s="325"/>
      <c r="G25" s="319" t="str">
        <f>IFERROR(IF(E25="","",IF(F25="Direct-from-manufacturer",(E25*H25/1000*'Reporting Year &amp; Inflation Adj.'!$F$9),(E25*I25/1000*'Reporting Year &amp; Inflation Adj.'!$F$9))),"")</f>
        <v/>
      </c>
      <c r="H25" s="790">
        <v>6.8393250025000019E-2</v>
      </c>
      <c r="I25" s="793">
        <v>9.0185718264999978E-2</v>
      </c>
      <c r="J25" s="324">
        <v>0.24282840544276058</v>
      </c>
      <c r="K25" s="68">
        <v>334516</v>
      </c>
      <c r="L25" s="68" t="s">
        <v>3345</v>
      </c>
      <c r="M25" s="69" t="s">
        <v>440</v>
      </c>
      <c r="N25" s="69" t="s">
        <v>745</v>
      </c>
      <c r="O25" s="70">
        <v>7.8518070209999999E-2</v>
      </c>
      <c r="P25" s="70">
        <v>2.4407085899999997E-2</v>
      </c>
      <c r="Q25" s="70">
        <v>0.10292345509</v>
      </c>
    </row>
    <row r="26" spans="1:17" ht="42.75">
      <c r="C26" s="321" t="s">
        <v>545</v>
      </c>
      <c r="D26" s="322"/>
      <c r="E26" s="783"/>
      <c r="F26" s="325"/>
      <c r="G26" s="319" t="str">
        <f>IFERROR(IF(E26="","",IF(F26="Direct-from-manufacturer",(E26*H26/1000*'Reporting Year &amp; Inflation Adj.'!$F$9),(E26*I26/1000*'Reporting Year &amp; Inflation Adj.'!$F$9))),"")</f>
        <v/>
      </c>
      <c r="H26" s="790">
        <v>0.90236574558999993</v>
      </c>
      <c r="I26" s="793">
        <v>0.92828964729999996</v>
      </c>
      <c r="J26" s="324">
        <v>2.7323294915302457E-2</v>
      </c>
      <c r="K26" s="68">
        <v>324121</v>
      </c>
      <c r="L26" s="68" t="s">
        <v>3348</v>
      </c>
      <c r="M26" s="69" t="s">
        <v>440</v>
      </c>
      <c r="N26" s="69" t="s">
        <v>544</v>
      </c>
      <c r="O26" s="70">
        <v>1.1025855085700003</v>
      </c>
      <c r="P26" s="70">
        <v>2.794347959E-2</v>
      </c>
      <c r="Q26" s="70">
        <v>1.1269681298400001</v>
      </c>
    </row>
    <row r="27" spans="1:17" ht="57">
      <c r="C27" s="321" t="s">
        <v>546</v>
      </c>
      <c r="D27" s="322"/>
      <c r="E27" s="783"/>
      <c r="F27" s="325"/>
      <c r="G27" s="319" t="str">
        <f>IFERROR(IF(E27="","",IF(F27="Direct-from-manufacturer",(E27*H27/1000*'Reporting Year &amp; Inflation Adj.'!$F$9),(E27*I27/1000*'Reporting Year &amp; Inflation Adj.'!$F$9))),"")</f>
        <v/>
      </c>
      <c r="H27" s="790">
        <v>0.51873300056000005</v>
      </c>
      <c r="I27" s="793">
        <v>0.54975766621999989</v>
      </c>
      <c r="J27" s="324">
        <v>5.5683236416660897E-2</v>
      </c>
      <c r="K27" s="68">
        <v>324122</v>
      </c>
      <c r="L27" s="68" t="s">
        <v>3349</v>
      </c>
      <c r="M27" s="69" t="s">
        <v>440</v>
      </c>
      <c r="N27" s="69" t="s">
        <v>544</v>
      </c>
      <c r="O27" s="70">
        <v>0.57876085089000018</v>
      </c>
      <c r="P27" s="70">
        <v>3.182666540399999E-2</v>
      </c>
      <c r="Q27" s="70">
        <v>0.61045555746000013</v>
      </c>
    </row>
    <row r="28" spans="1:17" ht="71.25">
      <c r="C28" s="321" t="s">
        <v>734</v>
      </c>
      <c r="D28" s="322"/>
      <c r="E28" s="783"/>
      <c r="F28" s="325"/>
      <c r="G28" s="319" t="str">
        <f>IFERROR(IF(E28="","",IF(F28="Direct-from-manufacturer",(E28*H28/1000*'Reporting Year &amp; Inflation Adj.'!$F$9),(E28*I28/1000*'Reporting Year &amp; Inflation Adj.'!$F$9))),"")</f>
        <v/>
      </c>
      <c r="H28" s="790">
        <v>3.963316904500002E-2</v>
      </c>
      <c r="I28" s="793">
        <v>7.3974066564999982E-2</v>
      </c>
      <c r="J28" s="324">
        <v>0.46441986165263355</v>
      </c>
      <c r="K28" s="68">
        <v>334300</v>
      </c>
      <c r="L28" s="68" t="s">
        <v>3350</v>
      </c>
      <c r="M28" s="69" t="s">
        <v>440</v>
      </c>
      <c r="N28" s="69" t="s">
        <v>736</v>
      </c>
      <c r="O28" s="70">
        <v>4.3560860049999997E-2</v>
      </c>
      <c r="P28" s="70">
        <v>3.8550819220000004E-2</v>
      </c>
      <c r="Q28" s="70">
        <v>8.2115830600000009E-2</v>
      </c>
    </row>
    <row r="29" spans="1:17" ht="71.25">
      <c r="C29" s="321" t="s">
        <v>747</v>
      </c>
      <c r="D29" s="783"/>
      <c r="E29" s="783"/>
      <c r="F29" s="325"/>
      <c r="G29" s="784" t="str">
        <f>IFERROR(IF(E29="","",IF(F29="Direct-from-manufacturer",(E29*H29/1000*'Reporting Year &amp; Inflation Adj.'!$F$9),(E29*I29/1000*'Reporting Year &amp; Inflation Adj.'!$F$9))),"")</f>
        <v/>
      </c>
      <c r="H29" s="790">
        <v>4.1879130010000001E-2</v>
      </c>
      <c r="I29" s="793">
        <v>6.2839015090000006E-2</v>
      </c>
      <c r="J29" s="324">
        <v>0.33349938322529493</v>
      </c>
      <c r="K29" s="68">
        <v>334512</v>
      </c>
      <c r="L29" s="68" t="s">
        <v>3351</v>
      </c>
      <c r="M29" s="69" t="s">
        <v>440</v>
      </c>
      <c r="N29" s="69" t="s">
        <v>745</v>
      </c>
      <c r="O29" s="70">
        <v>4.7261545041000004E-2</v>
      </c>
      <c r="P29" s="70">
        <v>2.3088755809999997E-2</v>
      </c>
      <c r="Q29" s="70">
        <v>7.0354920909999993E-2</v>
      </c>
    </row>
    <row r="30" spans="1:17" ht="42.75">
      <c r="C30" s="321" t="s">
        <v>779</v>
      </c>
      <c r="D30" s="322"/>
      <c r="E30" s="783"/>
      <c r="F30" s="325"/>
      <c r="G30" s="319" t="str">
        <f>IFERROR(IF(E30="","",IF(F30="Direct-from-manufacturer",(E30*H30/1000*'Reporting Year &amp; Inflation Adj.'!$F$9),(E30*I30/1000*'Reporting Year &amp; Inflation Adj.'!$F$9))),"")</f>
        <v/>
      </c>
      <c r="H30" s="790">
        <v>0.18847009641500001</v>
      </c>
      <c r="I30" s="793">
        <v>0.23696765222499999</v>
      </c>
      <c r="J30" s="324">
        <v>0.20720193802392728</v>
      </c>
      <c r="K30" s="68">
        <v>336111</v>
      </c>
      <c r="L30" s="68" t="s">
        <v>3352</v>
      </c>
      <c r="M30" s="69" t="s">
        <v>440</v>
      </c>
      <c r="N30" s="69" t="s">
        <v>781</v>
      </c>
      <c r="O30" s="70">
        <v>0.19173530783000001</v>
      </c>
      <c r="P30" s="70">
        <v>5.0411641090000001E-2</v>
      </c>
      <c r="Q30" s="70">
        <v>0.24169422710000002</v>
      </c>
    </row>
    <row r="31" spans="1:17" ht="57">
      <c r="C31" s="321" t="s">
        <v>567</v>
      </c>
      <c r="D31" s="322"/>
      <c r="E31" s="783"/>
      <c r="F31" s="325"/>
      <c r="G31" s="319" t="str">
        <f>IFERROR(IF(E31="","",IF(F31="Direct-from-manufacturer",(E31*H31/1000*'Reporting Year &amp; Inflation Adj.'!$F$9),(E31*I31/1000*'Reporting Year &amp; Inflation Adj.'!$F$9))),"")</f>
        <v/>
      </c>
      <c r="H31" s="790">
        <v>0.14728228939499999</v>
      </c>
      <c r="I31" s="793">
        <v>0.16966179472999998</v>
      </c>
      <c r="J31" s="324">
        <v>0.12911790901341008</v>
      </c>
      <c r="K31" s="68">
        <v>325413</v>
      </c>
      <c r="L31" s="68" t="s">
        <v>3354</v>
      </c>
      <c r="M31" s="69" t="s">
        <v>440</v>
      </c>
      <c r="N31" s="69" t="s">
        <v>565</v>
      </c>
      <c r="O31" s="70">
        <v>0.16249880304</v>
      </c>
      <c r="P31" s="70">
        <v>2.2488066719999998E-2</v>
      </c>
      <c r="Q31" s="70">
        <v>0.18527496689</v>
      </c>
    </row>
    <row r="32" spans="1:17" ht="57">
      <c r="C32" s="321" t="s">
        <v>814</v>
      </c>
      <c r="D32" s="322"/>
      <c r="E32" s="783"/>
      <c r="F32" s="325"/>
      <c r="G32" s="319" t="str">
        <f>IFERROR(IF(E32="","",IF(F32="Direct-from-manufacturer",(E32*H32/1000*'Reporting Year &amp; Inflation Adj.'!$F$9),(E32*I32/1000*'Reporting Year &amp; Inflation Adj.'!$F$9))),"")</f>
        <v/>
      </c>
      <c r="H32" s="790">
        <v>0.13072818874</v>
      </c>
      <c r="I32" s="793">
        <v>0.15889679324499997</v>
      </c>
      <c r="J32" s="324">
        <v>0.17657955558447311</v>
      </c>
      <c r="K32" s="68">
        <v>336612</v>
      </c>
      <c r="L32" s="68" t="s">
        <v>3355</v>
      </c>
      <c r="M32" s="69" t="s">
        <v>440</v>
      </c>
      <c r="N32" s="69" t="s">
        <v>813</v>
      </c>
      <c r="O32" s="70">
        <v>0.15157205155</v>
      </c>
      <c r="P32" s="70">
        <v>3.2162848387000002E-2</v>
      </c>
      <c r="Q32" s="70">
        <v>0.18332743845999999</v>
      </c>
    </row>
    <row r="33" spans="3:17" ht="57">
      <c r="C33" s="321" t="s">
        <v>777</v>
      </c>
      <c r="D33" s="322"/>
      <c r="E33" s="783"/>
      <c r="F33" s="325"/>
      <c r="G33" s="319" t="str">
        <f>IFERROR(IF(E33="","",IF(F33="Direct-from-manufacturer",(E33*H33/1000*'Reporting Year &amp; Inflation Adj.'!$F$9),(E33*I33/1000*'Reporting Year &amp; Inflation Adj.'!$F$9))),"")</f>
        <v/>
      </c>
      <c r="H33" s="790">
        <v>0.27232037661999997</v>
      </c>
      <c r="I33" s="793">
        <v>0.28456732138000002</v>
      </c>
      <c r="J33" s="324">
        <v>4.5198357642143389E-2</v>
      </c>
      <c r="K33" s="68">
        <v>335991</v>
      </c>
      <c r="L33" s="68" t="s">
        <v>3365</v>
      </c>
      <c r="M33" s="69" t="s">
        <v>440</v>
      </c>
      <c r="N33" s="69" t="s">
        <v>773</v>
      </c>
      <c r="O33" s="70">
        <v>0.34851611674999999</v>
      </c>
      <c r="P33" s="70">
        <v>1.6530725480000001E-2</v>
      </c>
      <c r="Q33" s="70">
        <v>0.36553395382999998</v>
      </c>
    </row>
    <row r="34" spans="3:17" ht="42.75">
      <c r="C34" s="321" t="s">
        <v>530</v>
      </c>
      <c r="D34" s="322"/>
      <c r="E34" s="783"/>
      <c r="F34" s="325"/>
      <c r="G34" s="319" t="str">
        <f>IFERROR(IF(E34="","",IF(F34="Direct-from-manufacturer",(E34*H34/1000*'Reporting Year &amp; Inflation Adj.'!$F$9),(E34*I34/1000*'Reporting Year &amp; Inflation Adj.'!$F$9))),"")</f>
        <v/>
      </c>
      <c r="H34" s="790">
        <v>0.73774467975999991</v>
      </c>
      <c r="I34" s="793">
        <v>0.78021007167999989</v>
      </c>
      <c r="J34" s="324">
        <v>5.4617371560255326E-2</v>
      </c>
      <c r="K34" s="68">
        <v>322130</v>
      </c>
      <c r="L34" s="68" t="s">
        <v>3366</v>
      </c>
      <c r="M34" s="69" t="s">
        <v>440</v>
      </c>
      <c r="N34" s="69" t="s">
        <v>528</v>
      </c>
      <c r="O34" s="70">
        <v>0.79246599688999997</v>
      </c>
      <c r="P34" s="70">
        <v>4.0089732419999996E-2</v>
      </c>
      <c r="Q34" s="70">
        <v>0.83257661122000004</v>
      </c>
    </row>
    <row r="35" spans="3:17" ht="57">
      <c r="C35" s="321" t="s">
        <v>531</v>
      </c>
      <c r="D35" s="322"/>
      <c r="E35" s="783"/>
      <c r="F35" s="325"/>
      <c r="G35" s="319" t="str">
        <f>IFERROR(IF(E35="","",IF(F35="Direct-from-manufacturer",(E35*H35/1000*'Reporting Year &amp; Inflation Adj.'!$F$9),(E35*I35/1000*'Reporting Year &amp; Inflation Adj.'!$F$9))),"")</f>
        <v/>
      </c>
      <c r="H35" s="790">
        <v>0.43172117248000003</v>
      </c>
      <c r="I35" s="793">
        <v>0.46213957934999988</v>
      </c>
      <c r="J35" s="324">
        <v>6.6513782217558534E-2</v>
      </c>
      <c r="K35" s="68">
        <v>322210</v>
      </c>
      <c r="L35" s="68" t="s">
        <v>3367</v>
      </c>
      <c r="M35" s="69" t="s">
        <v>440</v>
      </c>
      <c r="N35" s="69" t="s">
        <v>533</v>
      </c>
      <c r="O35" s="70">
        <v>0.45128454300000004</v>
      </c>
      <c r="P35" s="70">
        <v>2.9942973559999999E-2</v>
      </c>
      <c r="Q35" s="70">
        <v>0.48101976617999997</v>
      </c>
    </row>
    <row r="36" spans="3:17" ht="57">
      <c r="C36" s="321" t="s">
        <v>502</v>
      </c>
      <c r="D36" s="322"/>
      <c r="E36" s="783"/>
      <c r="F36" s="325"/>
      <c r="G36" s="319" t="str">
        <f>IFERROR(IF(E36="","",IF(F36="Direct-from-manufacturer",(E36*H36/1000*'Reporting Year &amp; Inflation Adj.'!$F$9),(E36*I36/1000*'Reporting Year &amp; Inflation Adj.'!$F$9))),"")</f>
        <v/>
      </c>
      <c r="H36" s="790">
        <v>0.20033572662000007</v>
      </c>
      <c r="I36" s="793">
        <v>0.26515311263000002</v>
      </c>
      <c r="J36" s="324">
        <v>0.24263395734589976</v>
      </c>
      <c r="K36" s="68">
        <v>314110</v>
      </c>
      <c r="L36" s="68" t="s">
        <v>3368</v>
      </c>
      <c r="M36" s="69" t="s">
        <v>440</v>
      </c>
      <c r="N36" s="69" t="s">
        <v>504</v>
      </c>
      <c r="O36" s="70">
        <v>0.22507097126</v>
      </c>
      <c r="P36" s="70">
        <v>6.9038875E-2</v>
      </c>
      <c r="Q36" s="70">
        <v>0.29475249342999998</v>
      </c>
    </row>
    <row r="37" spans="3:17" ht="42.75">
      <c r="C37" s="321" t="s">
        <v>634</v>
      </c>
      <c r="D37" s="322"/>
      <c r="E37" s="783"/>
      <c r="F37" s="325"/>
      <c r="G37" s="319" t="str">
        <f>IFERROR(IF(E37="","",IF(F37="Direct-from-manufacturer",(E37*H37/1000*'Reporting Year &amp; Inflation Adj.'!$F$9),(E37*I37/1000*'Reporting Year &amp; Inflation Adj.'!$F$9))),"")</f>
        <v/>
      </c>
      <c r="H37" s="790">
        <v>0.310427625205</v>
      </c>
      <c r="I37" s="793">
        <v>0.3302662597499999</v>
      </c>
      <c r="J37" s="324">
        <v>6.1404985860048944E-2</v>
      </c>
      <c r="K37" s="68">
        <v>331510</v>
      </c>
      <c r="L37" s="68" t="s">
        <v>3369</v>
      </c>
      <c r="M37" s="69" t="s">
        <v>440</v>
      </c>
      <c r="N37" s="69" t="s">
        <v>636</v>
      </c>
      <c r="O37" s="70">
        <v>0.35048849429999995</v>
      </c>
      <c r="P37" s="70">
        <v>2.0893894230999997E-2</v>
      </c>
      <c r="Q37" s="70">
        <v>0.37179166199999997</v>
      </c>
    </row>
    <row r="38" spans="3:17" ht="42.75">
      <c r="C38" s="321" t="s">
        <v>602</v>
      </c>
      <c r="D38" s="322"/>
      <c r="E38" s="783"/>
      <c r="F38" s="325"/>
      <c r="G38" s="319" t="str">
        <f>IFERROR(IF(E38="","",IF(F38="Direct-from-manufacturer",(E38*H38/1000*'Reporting Year &amp; Inflation Adj.'!$F$9),(E38*I38/1000*'Reporting Year &amp; Inflation Adj.'!$F$9))),"")</f>
        <v/>
      </c>
      <c r="H38" s="790">
        <v>2.6761653873649993</v>
      </c>
      <c r="I38" s="793">
        <v>2.7340947360099999</v>
      </c>
      <c r="J38" s="324">
        <v>2.3842081639105863E-2</v>
      </c>
      <c r="K38" s="68">
        <v>327310</v>
      </c>
      <c r="L38" s="68" t="s">
        <v>3371</v>
      </c>
      <c r="M38" s="69" t="s">
        <v>440</v>
      </c>
      <c r="N38" s="69" t="s">
        <v>604</v>
      </c>
      <c r="O38" s="70">
        <v>3.8515269656500002</v>
      </c>
      <c r="P38" s="70">
        <v>7.9053461550000009E-2</v>
      </c>
      <c r="Q38" s="70">
        <v>3.9324714299999997</v>
      </c>
    </row>
    <row r="39" spans="3:17" ht="75">
      <c r="C39" s="321" t="s">
        <v>580</v>
      </c>
      <c r="D39" s="322"/>
      <c r="E39" s="783"/>
      <c r="F39" s="325"/>
      <c r="G39" s="319" t="str">
        <f>IFERROR(IF(E39="","",IF(F39="Direct-from-manufacturer",(E39*H39/1000*'Reporting Year &amp; Inflation Adj.'!$F$9),(E39*I39/1000*'Reporting Year &amp; Inflation Adj.'!$F$9))),"")</f>
        <v/>
      </c>
      <c r="H39" s="790">
        <v>0.41450977410000001</v>
      </c>
      <c r="I39" s="793">
        <v>0.44189436029999996</v>
      </c>
      <c r="J39" s="324">
        <v>6.1986349432937099E-2</v>
      </c>
      <c r="K39" s="68" t="s">
        <v>581</v>
      </c>
      <c r="L39" s="68" t="s">
        <v>3373</v>
      </c>
      <c r="M39" s="69" t="s">
        <v>440</v>
      </c>
      <c r="N39" s="69" t="s">
        <v>579</v>
      </c>
      <c r="O39" s="70">
        <v>0.47456737944999994</v>
      </c>
      <c r="P39" s="70">
        <v>2.8659220780000005E-2</v>
      </c>
      <c r="Q39" s="70">
        <v>0.50341828476999995</v>
      </c>
    </row>
    <row r="40" spans="3:17" ht="42.75">
      <c r="C40" s="321" t="s">
        <v>596</v>
      </c>
      <c r="D40" s="322"/>
      <c r="E40" s="783"/>
      <c r="F40" s="325"/>
      <c r="G40" s="319" t="str">
        <f>IFERROR(IF(E40="","",IF(F40="Direct-from-manufacturer",(E40*H40/1000*'Reporting Year &amp; Inflation Adj.'!$F$9),(E40*I40/1000*'Reporting Year &amp; Inflation Adj.'!$F$9))),"")</f>
        <v/>
      </c>
      <c r="H40" s="790">
        <v>0.36092163839000002</v>
      </c>
      <c r="I40" s="793">
        <v>0.40940086375499996</v>
      </c>
      <c r="J40" s="324">
        <v>0.11787726850981911</v>
      </c>
      <c r="K40" s="68">
        <v>327100</v>
      </c>
      <c r="L40" s="68" t="s">
        <v>3376</v>
      </c>
      <c r="M40" s="69" t="s">
        <v>440</v>
      </c>
      <c r="N40" s="69" t="s">
        <v>598</v>
      </c>
      <c r="O40" s="70">
        <v>0.40088700593999999</v>
      </c>
      <c r="P40" s="70">
        <v>5.2350679859999985E-2</v>
      </c>
      <c r="Q40" s="70">
        <v>0.45262988362000001</v>
      </c>
    </row>
    <row r="41" spans="3:17" ht="71.25">
      <c r="C41" s="321" t="s">
        <v>19</v>
      </c>
      <c r="D41" s="322"/>
      <c r="E41" s="783"/>
      <c r="F41" s="325"/>
      <c r="G41" s="319" t="str">
        <f>IFERROR(IF(E41="","",IF(F41="Direct-from-manufacturer",(E41*H41/1000*'Reporting Year &amp; Inflation Adj.'!$F$9),(E41*I41/1000*'Reporting Year &amp; Inflation Adj.'!$F$9))),"")</f>
        <v/>
      </c>
      <c r="H41" s="790">
        <v>0.76551220193000002</v>
      </c>
      <c r="I41" s="793">
        <v>0.86475302702000023</v>
      </c>
      <c r="J41" s="324">
        <v>0.11413296934630716</v>
      </c>
      <c r="K41" s="68">
        <v>212100</v>
      </c>
      <c r="L41" s="68" t="s">
        <v>3379</v>
      </c>
      <c r="M41" s="69" t="s">
        <v>371</v>
      </c>
      <c r="N41" s="69" t="s">
        <v>374</v>
      </c>
      <c r="O41" s="70">
        <v>0.78505476366400007</v>
      </c>
      <c r="P41" s="70">
        <v>9.4634791216000005E-2</v>
      </c>
      <c r="Q41" s="70">
        <v>0.88015242420999995</v>
      </c>
    </row>
    <row r="42" spans="3:17" ht="409.5">
      <c r="C42" s="321" t="s">
        <v>3312</v>
      </c>
      <c r="D42" s="322"/>
      <c r="E42" s="783"/>
      <c r="F42" s="325" t="s">
        <v>366</v>
      </c>
      <c r="G42" s="319" t="str">
        <f>IFERROR(IF(E42="","",IF(F42="Direct-from-manufacturer",(E42*H42/1000*'Reporting Year &amp; Inflation Adj.'!$F$9),(E42*I42/1000*'Reporting Year &amp; Inflation Adj.'!$F$9))),"")</f>
        <v/>
      </c>
      <c r="H42" s="790">
        <v>0.19704277615000007</v>
      </c>
      <c r="I42" s="793">
        <v>0.19704277615000007</v>
      </c>
      <c r="J42" s="324">
        <v>0</v>
      </c>
      <c r="K42" s="68" t="s">
        <v>3714</v>
      </c>
      <c r="L42" s="68" t="s">
        <v>3382</v>
      </c>
      <c r="M42" s="69" t="s">
        <v>397</v>
      </c>
      <c r="N42" s="69" t="s">
        <v>403</v>
      </c>
      <c r="O42" s="70">
        <v>0.22555460382</v>
      </c>
      <c r="P42" s="70">
        <v>0</v>
      </c>
      <c r="Q42" s="70">
        <v>0.22555460382</v>
      </c>
    </row>
    <row r="43" spans="3:17" ht="57">
      <c r="C43" s="321" t="s">
        <v>775</v>
      </c>
      <c r="D43" s="322"/>
      <c r="E43" s="783"/>
      <c r="F43" s="325"/>
      <c r="G43" s="319" t="str">
        <f>IFERROR(IF(E43="","",IF(F43="Direct-from-manufacturer",(E43*H43/1000*'Reporting Year &amp; Inflation Adj.'!$F$9),(E43*I43/1000*'Reporting Year &amp; Inflation Adj.'!$F$9))),"")</f>
        <v/>
      </c>
      <c r="H43" s="790">
        <v>0.208247783455</v>
      </c>
      <c r="I43" s="793">
        <v>0.22291025427500002</v>
      </c>
      <c r="J43" s="324">
        <v>6.7111462878438735E-2</v>
      </c>
      <c r="K43" s="68">
        <v>335920</v>
      </c>
      <c r="L43" s="68" t="s">
        <v>3385</v>
      </c>
      <c r="M43" s="69" t="s">
        <v>440</v>
      </c>
      <c r="N43" s="69" t="s">
        <v>773</v>
      </c>
      <c r="O43" s="70">
        <v>0.22040170273000001</v>
      </c>
      <c r="P43" s="70">
        <v>1.6062350820000001E-2</v>
      </c>
      <c r="Q43" s="70">
        <v>0.23637851254000003</v>
      </c>
    </row>
    <row r="44" spans="3:17" ht="57">
      <c r="C44" s="321" t="s">
        <v>733</v>
      </c>
      <c r="D44" s="322"/>
      <c r="E44" s="783"/>
      <c r="F44" s="325"/>
      <c r="G44" s="319" t="str">
        <f>IFERROR(IF(E44="","",IF(F44="Direct-from-manufacturer",(E44*H44/1000*'Reporting Year &amp; Inflation Adj.'!$F$9),(E44*I44/1000*'Reporting Year &amp; Inflation Adj.'!$F$9))),"")</f>
        <v/>
      </c>
      <c r="H44" s="790">
        <v>3.2299684854999997E-2</v>
      </c>
      <c r="I44" s="793">
        <v>6.8270305710000007E-2</v>
      </c>
      <c r="J44" s="324">
        <v>0.52536962354258643</v>
      </c>
      <c r="K44" s="68">
        <v>334290</v>
      </c>
      <c r="L44" s="68" t="s">
        <v>3386</v>
      </c>
      <c r="M44" s="69" t="s">
        <v>440</v>
      </c>
      <c r="N44" s="69" t="s">
        <v>731</v>
      </c>
      <c r="O44" s="70">
        <v>3.8543534150000003E-2</v>
      </c>
      <c r="P44" s="70">
        <v>4.2353561619999994E-2</v>
      </c>
      <c r="Q44" s="70">
        <v>8.0890519870000011E-2</v>
      </c>
    </row>
    <row r="45" spans="3:17" ht="57">
      <c r="C45" s="321" t="s">
        <v>727</v>
      </c>
      <c r="D45" s="322"/>
      <c r="E45" s="783"/>
      <c r="F45" s="325"/>
      <c r="G45" s="319" t="str">
        <f>IFERROR(IF(E45="","",IF(F45="Direct-from-manufacturer",(E45*H45/1000*'Reporting Year &amp; Inflation Adj.'!$F$9),(E45*I45/1000*'Reporting Year &amp; Inflation Adj.'!$F$9))),"")</f>
        <v/>
      </c>
      <c r="H45" s="790">
        <v>3.9150613745E-2</v>
      </c>
      <c r="I45" s="793">
        <v>6.9764233425000016E-2</v>
      </c>
      <c r="J45" s="324">
        <v>0.43884205640864882</v>
      </c>
      <c r="K45" s="68">
        <v>334112</v>
      </c>
      <c r="L45" s="68" t="s">
        <v>3390</v>
      </c>
      <c r="M45" s="69" t="s">
        <v>440</v>
      </c>
      <c r="N45" s="69" t="s">
        <v>726</v>
      </c>
      <c r="O45" s="70">
        <v>4.0468940490999999E-2</v>
      </c>
      <c r="P45" s="70">
        <v>3.1449022940000002E-2</v>
      </c>
      <c r="Q45" s="70">
        <v>7.2032959430000001E-2</v>
      </c>
    </row>
    <row r="46" spans="3:17" ht="171">
      <c r="C46" s="321" t="s">
        <v>728</v>
      </c>
      <c r="D46" s="322"/>
      <c r="E46" s="783"/>
      <c r="F46" s="325"/>
      <c r="G46" s="319" t="str">
        <f>IFERROR(IF(E46="","",IF(F46="Direct-from-manufacturer",(E46*H46/1000*'Reporting Year &amp; Inflation Adj.'!$F$9),(E46*I46/1000*'Reporting Year &amp; Inflation Adj.'!$F$9))),"")</f>
        <v/>
      </c>
      <c r="H46" s="790">
        <v>0.10622854558</v>
      </c>
      <c r="I46" s="793">
        <v>0.13153315977999999</v>
      </c>
      <c r="J46" s="324">
        <v>0.19320480149268107</v>
      </c>
      <c r="K46" s="68">
        <v>334118</v>
      </c>
      <c r="L46" s="68" t="s">
        <v>3392</v>
      </c>
      <c r="M46" s="69" t="s">
        <v>440</v>
      </c>
      <c r="N46" s="69" t="s">
        <v>726</v>
      </c>
      <c r="O46" s="70">
        <v>0.11668957495</v>
      </c>
      <c r="P46" s="70">
        <v>2.7219157850000002E-2</v>
      </c>
      <c r="Q46" s="70">
        <v>0.14443019592</v>
      </c>
    </row>
    <row r="47" spans="3:17" ht="185.25">
      <c r="C47" s="321" t="s">
        <v>724</v>
      </c>
      <c r="D47" s="322"/>
      <c r="E47" s="783"/>
      <c r="F47" s="325"/>
      <c r="G47" s="319" t="str">
        <f>IFERROR(IF(E47="","",IF(F47="Direct-from-manufacturer",(E47*H47/1000*'Reporting Year &amp; Inflation Adj.'!$F$9),(E47*I47/1000*'Reporting Year &amp; Inflation Adj.'!$F$9))),"")</f>
        <v/>
      </c>
      <c r="H47" s="790">
        <v>2.8332989204999999E-2</v>
      </c>
      <c r="I47" s="793">
        <v>5.5424930055000002E-2</v>
      </c>
      <c r="J47" s="324">
        <v>0.48909368831137623</v>
      </c>
      <c r="K47" s="68">
        <v>334111</v>
      </c>
      <c r="L47" s="68" t="s">
        <v>3393</v>
      </c>
      <c r="M47" s="69" t="s">
        <v>440</v>
      </c>
      <c r="N47" s="69" t="s">
        <v>726</v>
      </c>
      <c r="O47" s="70">
        <v>3.0197229200000002E-2</v>
      </c>
      <c r="P47" s="70">
        <v>2.8751692029999998E-2</v>
      </c>
      <c r="Q47" s="70">
        <v>5.8929429019999986E-2</v>
      </c>
    </row>
    <row r="48" spans="3:17" ht="42.75">
      <c r="C48" s="321" t="s">
        <v>606</v>
      </c>
      <c r="D48" s="322"/>
      <c r="E48" s="783"/>
      <c r="F48" s="325"/>
      <c r="G48" s="319" t="str">
        <f>IFERROR(IF(E48="","",IF(F48="Direct-from-manufacturer",(E48*H48/1000*'Reporting Year &amp; Inflation Adj.'!$F$9),(E48*I48/1000*'Reporting Year &amp; Inflation Adj.'!$F$9))),"")</f>
        <v/>
      </c>
      <c r="H48" s="790">
        <v>0.19376598209000001</v>
      </c>
      <c r="I48" s="793">
        <v>0.24661203225500006</v>
      </c>
      <c r="J48" s="324">
        <v>0.21106598830173118</v>
      </c>
      <c r="K48" s="68">
        <v>327330</v>
      </c>
      <c r="L48" s="68" t="s">
        <v>3394</v>
      </c>
      <c r="M48" s="69" t="s">
        <v>440</v>
      </c>
      <c r="N48" s="69" t="s">
        <v>604</v>
      </c>
      <c r="O48" s="70">
        <v>0.26495564166000002</v>
      </c>
      <c r="P48" s="70">
        <v>6.3802448270000006E-2</v>
      </c>
      <c r="Q48" s="70">
        <v>0.32916277872999999</v>
      </c>
    </row>
    <row r="49" spans="3:17" ht="57">
      <c r="C49" s="321" t="s">
        <v>683</v>
      </c>
      <c r="D49" s="322"/>
      <c r="E49" s="783"/>
      <c r="F49" s="325"/>
      <c r="G49" s="319" t="str">
        <f>IFERROR(IF(E49="","",IF(F49="Direct-from-manufacturer",(E49*H49/1000*'Reporting Year &amp; Inflation Adj.'!$F$9),(E49*I49/1000*'Reporting Year &amp; Inflation Adj.'!$F$9))),"")</f>
        <v/>
      </c>
      <c r="H49" s="790">
        <v>0.16265907311</v>
      </c>
      <c r="I49" s="793">
        <v>0.18649170702499998</v>
      </c>
      <c r="J49" s="324">
        <v>0.12337693381677066</v>
      </c>
      <c r="K49" s="68">
        <v>333120</v>
      </c>
      <c r="L49" s="68" t="s">
        <v>3395</v>
      </c>
      <c r="M49" s="69" t="s">
        <v>440</v>
      </c>
      <c r="N49" s="69" t="s">
        <v>681</v>
      </c>
      <c r="O49" s="70">
        <v>0.20163499606999999</v>
      </c>
      <c r="P49" s="70">
        <v>2.7561102410000003E-2</v>
      </c>
      <c r="Q49" s="70">
        <v>0.22948276416999994</v>
      </c>
    </row>
    <row r="50" spans="3:17" ht="57">
      <c r="C50" s="321" t="s">
        <v>629</v>
      </c>
      <c r="D50" s="322"/>
      <c r="E50" s="783"/>
      <c r="F50" s="325"/>
      <c r="G50" s="319" t="str">
        <f>IFERROR(IF(E50="","",IF(F50="Direct-from-manufacturer",(E50*H50/1000*'Reporting Year &amp; Inflation Adj.'!$F$9),(E50*I50/1000*'Reporting Year &amp; Inflation Adj.'!$F$9))),"")</f>
        <v/>
      </c>
      <c r="H50" s="790">
        <v>0.43943605552999992</v>
      </c>
      <c r="I50" s="793">
        <v>0.45459104362500002</v>
      </c>
      <c r="J50" s="324">
        <v>3.3760311441947626E-2</v>
      </c>
      <c r="K50" s="68">
        <v>331410</v>
      </c>
      <c r="L50" s="68" t="s">
        <v>3398</v>
      </c>
      <c r="M50" s="69" t="s">
        <v>440</v>
      </c>
      <c r="N50" s="69" t="s">
        <v>631</v>
      </c>
      <c r="O50" s="70">
        <v>0.40923198986000014</v>
      </c>
      <c r="P50" s="70">
        <v>1.5749122497000001E-2</v>
      </c>
      <c r="Q50" s="70">
        <v>0.42566276151000004</v>
      </c>
    </row>
    <row r="51" spans="3:17" ht="42.75">
      <c r="C51" s="321" t="s">
        <v>378</v>
      </c>
      <c r="D51" s="322"/>
      <c r="E51" s="783"/>
      <c r="F51" s="325"/>
      <c r="G51" s="319" t="str">
        <f>IFERROR(IF(E51="","",IF(F51="Direct-from-manufacturer",(E51*H51/1000*'Reporting Year &amp; Inflation Adj.'!$F$9),(E51*I51/1000*'Reporting Year &amp; Inflation Adj.'!$F$9))),"")</f>
        <v/>
      </c>
      <c r="H51" s="790">
        <v>0.27489975903999991</v>
      </c>
      <c r="I51" s="793">
        <v>0.33132069292000005</v>
      </c>
      <c r="J51" s="324">
        <v>0.17184168803862587</v>
      </c>
      <c r="K51" s="68">
        <v>212230</v>
      </c>
      <c r="L51" s="68" t="s">
        <v>3399</v>
      </c>
      <c r="M51" s="69" t="s">
        <v>371</v>
      </c>
      <c r="N51" s="69" t="s">
        <v>377</v>
      </c>
      <c r="O51" s="70">
        <v>0.27238940930000005</v>
      </c>
      <c r="P51" s="70">
        <v>5.3508391675000003E-2</v>
      </c>
      <c r="Q51" s="70">
        <v>0.32551515174999995</v>
      </c>
    </row>
    <row r="52" spans="3:17" ht="42.75">
      <c r="C52" s="321" t="s">
        <v>505</v>
      </c>
      <c r="D52" s="322"/>
      <c r="E52" s="783"/>
      <c r="F52" s="325"/>
      <c r="G52" s="319" t="str">
        <f>IFERROR(IF(E52="","",IF(F52="Direct-from-manufacturer",(E52*H52/1000*'Reporting Year &amp; Inflation Adj.'!$F$9),(E52*I52/1000*'Reporting Year &amp; Inflation Adj.'!$F$9))),"")</f>
        <v/>
      </c>
      <c r="H52" s="790">
        <v>0.19459913570000001</v>
      </c>
      <c r="I52" s="793">
        <v>0.25221427382</v>
      </c>
      <c r="J52" s="324">
        <v>0.22964258425094394</v>
      </c>
      <c r="K52" s="68">
        <v>314120</v>
      </c>
      <c r="L52" s="68" t="s">
        <v>3401</v>
      </c>
      <c r="M52" s="69" t="s">
        <v>440</v>
      </c>
      <c r="N52" s="69" t="s">
        <v>504</v>
      </c>
      <c r="O52" s="70">
        <v>0.20764953326999999</v>
      </c>
      <c r="P52" s="70">
        <v>6.1261307979999999E-2</v>
      </c>
      <c r="Q52" s="70">
        <v>0.26892962966</v>
      </c>
    </row>
    <row r="53" spans="3:17" ht="28.5">
      <c r="C53" s="321" t="s">
        <v>641</v>
      </c>
      <c r="D53" s="322"/>
      <c r="E53" s="783"/>
      <c r="F53" s="325"/>
      <c r="G53" s="319" t="str">
        <f>IFERROR(IF(E53="","",IF(F53="Direct-from-manufacturer",(E53*H53/1000*'Reporting Year &amp; Inflation Adj.'!$F$9),(E53*I53/1000*'Reporting Year &amp; Inflation Adj.'!$F$9))),"")</f>
        <v/>
      </c>
      <c r="H53" s="790">
        <v>0.470238795825</v>
      </c>
      <c r="I53" s="793">
        <v>0.48896693464000002</v>
      </c>
      <c r="J53" s="324">
        <v>3.8915922421236371E-2</v>
      </c>
      <c r="K53" s="68">
        <v>332114</v>
      </c>
      <c r="L53" s="68" t="s">
        <v>3403</v>
      </c>
      <c r="M53" s="69" t="s">
        <v>440</v>
      </c>
      <c r="N53" s="69" t="s">
        <v>640</v>
      </c>
      <c r="O53" s="70">
        <v>0.35035225813000009</v>
      </c>
      <c r="P53" s="70">
        <v>1.3531304576999999E-2</v>
      </c>
      <c r="Q53" s="70">
        <v>0.36348472153</v>
      </c>
    </row>
    <row r="54" spans="3:17" ht="57">
      <c r="C54" s="321" t="s">
        <v>614</v>
      </c>
      <c r="D54" s="322"/>
      <c r="E54" s="783"/>
      <c r="F54" s="325"/>
      <c r="G54" s="319" t="str">
        <f>IFERROR(IF(E54="","",IF(F54="Direct-from-manufacturer",(E54*H54/1000*'Reporting Year &amp; Inflation Adj.'!$F$9),(E54*I54/1000*'Reporting Year &amp; Inflation Adj.'!$F$9))),"")</f>
        <v/>
      </c>
      <c r="H54" s="790">
        <v>0.12882853033</v>
      </c>
      <c r="I54" s="793">
        <v>0.17251540375999996</v>
      </c>
      <c r="J54" s="324">
        <v>0.2547776887572698</v>
      </c>
      <c r="K54" s="68">
        <v>327991</v>
      </c>
      <c r="L54" s="68" t="s">
        <v>3404</v>
      </c>
      <c r="M54" s="69" t="s">
        <v>440</v>
      </c>
      <c r="N54" s="69" t="s">
        <v>613</v>
      </c>
      <c r="O54" s="70">
        <v>0.14866862947000001</v>
      </c>
      <c r="P54" s="70">
        <v>4.7104198969999997E-2</v>
      </c>
      <c r="Q54" s="70">
        <v>0.19643764323999999</v>
      </c>
    </row>
    <row r="55" spans="3:17" ht="99.75">
      <c r="C55" s="321" t="s">
        <v>644</v>
      </c>
      <c r="D55" s="322"/>
      <c r="E55" s="783"/>
      <c r="F55" s="325"/>
      <c r="G55" s="319" t="str">
        <f>IFERROR(IF(E55="","",IF(F55="Direct-from-manufacturer",(E55*H55/1000*'Reporting Year &amp; Inflation Adj.'!$F$9),(E55*I55/1000*'Reporting Year &amp; Inflation Adj.'!$F$9))),"")</f>
        <v/>
      </c>
      <c r="H55" s="790">
        <v>0.148828028675</v>
      </c>
      <c r="I55" s="793">
        <v>0.19161272274999994</v>
      </c>
      <c r="J55" s="324">
        <v>0.22017409128434304</v>
      </c>
      <c r="K55" s="68">
        <v>332200</v>
      </c>
      <c r="L55" s="68" t="s">
        <v>3405</v>
      </c>
      <c r="M55" s="69" t="s">
        <v>440</v>
      </c>
      <c r="N55" s="69" t="s">
        <v>646</v>
      </c>
      <c r="O55" s="70">
        <v>0.17527054912999998</v>
      </c>
      <c r="P55" s="70">
        <v>4.9135878249999994E-2</v>
      </c>
      <c r="Q55" s="70">
        <v>0.22429077757000002</v>
      </c>
    </row>
    <row r="56" spans="3:17" ht="71.25">
      <c r="C56" s="321" t="s">
        <v>704</v>
      </c>
      <c r="D56" s="322"/>
      <c r="E56" s="783"/>
      <c r="F56" s="325"/>
      <c r="G56" s="319" t="str">
        <f>IFERROR(IF(E56="","",IF(F56="Direct-from-manufacturer",(E56*H56/1000*'Reporting Year &amp; Inflation Adj.'!$F$9),(E56*I56/1000*'Reporting Year &amp; Inflation Adj.'!$F$9))),"")</f>
        <v/>
      </c>
      <c r="H56" s="790">
        <v>0.16015430177500001</v>
      </c>
      <c r="I56" s="793">
        <v>0.18030807449499997</v>
      </c>
      <c r="J56" s="324">
        <v>0.11296214202855798</v>
      </c>
      <c r="K56" s="68" t="s">
        <v>705</v>
      </c>
      <c r="L56" s="68" t="s">
        <v>3406</v>
      </c>
      <c r="M56" s="69" t="s">
        <v>440</v>
      </c>
      <c r="N56" s="69" t="s">
        <v>702</v>
      </c>
      <c r="O56" s="70">
        <v>0.18467934672000003</v>
      </c>
      <c r="P56" s="70">
        <v>2.3084595209999996E-2</v>
      </c>
      <c r="Q56" s="70">
        <v>0.20855775213</v>
      </c>
    </row>
    <row r="57" spans="3:17" ht="57">
      <c r="C57" s="321" t="s">
        <v>840</v>
      </c>
      <c r="D57" s="322"/>
      <c r="E57" s="783"/>
      <c r="F57" s="325"/>
      <c r="G57" s="319" t="str">
        <f>IFERROR(IF(E57="","",IF(F57="Direct-from-manufacturer",(E57*H57/1000*'Reporting Year &amp; Inflation Adj.'!$F$9),(E57*I57/1000*'Reporting Year &amp; Inflation Adj.'!$F$9))),"")</f>
        <v/>
      </c>
      <c r="H57" s="790">
        <v>0.12144670933</v>
      </c>
      <c r="I57" s="793">
        <v>0.14720512093999999</v>
      </c>
      <c r="J57" s="324">
        <v>0.1757111652762588</v>
      </c>
      <c r="K57" s="68">
        <v>339114</v>
      </c>
      <c r="L57" s="68" t="s">
        <v>3409</v>
      </c>
      <c r="M57" s="69" t="s">
        <v>440</v>
      </c>
      <c r="N57" s="69" t="s">
        <v>838</v>
      </c>
      <c r="O57" s="70">
        <v>0.14388459436000006</v>
      </c>
      <c r="P57" s="70">
        <v>3.0493722039999997E-2</v>
      </c>
      <c r="Q57" s="70">
        <v>0.17471566247</v>
      </c>
    </row>
    <row r="58" spans="3:17" ht="57">
      <c r="C58" s="321" t="s">
        <v>842</v>
      </c>
      <c r="D58" s="322"/>
      <c r="E58" s="783"/>
      <c r="F58" s="325"/>
      <c r="G58" s="319" t="str">
        <f>IFERROR(IF(E58="","",IF(F58="Direct-from-manufacturer",(E58*H58/1000*'Reporting Year &amp; Inflation Adj.'!$F$9),(E58*I58/1000*'Reporting Year &amp; Inflation Adj.'!$F$9))),"")</f>
        <v/>
      </c>
      <c r="H58" s="790">
        <v>7.4362819135000036E-2</v>
      </c>
      <c r="I58" s="793">
        <v>0.104055119945</v>
      </c>
      <c r="J58" s="324">
        <v>0.28630349771108521</v>
      </c>
      <c r="K58" s="68">
        <v>339116</v>
      </c>
      <c r="L58" s="68" t="s">
        <v>3410</v>
      </c>
      <c r="M58" s="69" t="s">
        <v>440</v>
      </c>
      <c r="N58" s="69" t="s">
        <v>838</v>
      </c>
      <c r="O58" s="70">
        <v>8.3066336130000001E-2</v>
      </c>
      <c r="P58" s="70">
        <v>3.483316258E-2</v>
      </c>
      <c r="Q58" s="70">
        <v>0.11791401771</v>
      </c>
    </row>
    <row r="59" spans="3:17" ht="57">
      <c r="C59" s="321" t="s">
        <v>380</v>
      </c>
      <c r="D59" s="322"/>
      <c r="E59" s="783"/>
      <c r="F59" s="325"/>
      <c r="G59" s="319" t="str">
        <f>IFERROR(IF(E59="","",IF(F59="Direct-from-manufacturer",(E59*H59/1000*'Reporting Year &amp; Inflation Adj.'!$F$9),(E59*I59/1000*'Reporting Year &amp; Inflation Adj.'!$F$9))),"")</f>
        <v/>
      </c>
      <c r="H59" s="790">
        <v>0.14115530617500005</v>
      </c>
      <c r="I59" s="793">
        <v>0.21267717355999996</v>
      </c>
      <c r="J59" s="324">
        <v>0.33393481696315624</v>
      </c>
      <c r="K59" s="68">
        <v>212310</v>
      </c>
      <c r="L59" s="68" t="s">
        <v>3412</v>
      </c>
      <c r="M59" s="69" t="s">
        <v>371</v>
      </c>
      <c r="N59" s="69" t="s">
        <v>382</v>
      </c>
      <c r="O59" s="70">
        <v>0.19387115817</v>
      </c>
      <c r="P59" s="70">
        <v>8.6297871180000013E-2</v>
      </c>
      <c r="Q59" s="70">
        <v>0.28086228323000006</v>
      </c>
    </row>
    <row r="60" spans="3:17" ht="42.75">
      <c r="C60" s="321" t="s">
        <v>847</v>
      </c>
      <c r="D60" s="322"/>
      <c r="E60" s="783"/>
      <c r="F60" s="325"/>
      <c r="G60" s="319" t="str">
        <f>IFERROR(IF(E60="","",IF(F60="Direct-from-manufacturer",(E60*H60/1000*'Reporting Year &amp; Inflation Adj.'!$F$9),(E60*I60/1000*'Reporting Year &amp; Inflation Adj.'!$F$9))),"")</f>
        <v/>
      </c>
      <c r="H60" s="790">
        <v>7.6794358960000017E-2</v>
      </c>
      <c r="I60" s="793">
        <v>0.13371626241000001</v>
      </c>
      <c r="J60" s="324">
        <v>0.42856415885517868</v>
      </c>
      <c r="K60" s="68">
        <v>339930</v>
      </c>
      <c r="L60" s="68" t="s">
        <v>3417</v>
      </c>
      <c r="M60" s="69" t="s">
        <v>440</v>
      </c>
      <c r="N60" s="69" t="s">
        <v>845</v>
      </c>
      <c r="O60" s="70">
        <v>8.5100252519999989E-2</v>
      </c>
      <c r="P60" s="70">
        <v>6.1866526799999995E-2</v>
      </c>
      <c r="Q60" s="70">
        <v>0.14696301811999998</v>
      </c>
    </row>
    <row r="61" spans="3:17" ht="71.25">
      <c r="C61" s="321" t="s">
        <v>743</v>
      </c>
      <c r="D61" s="322"/>
      <c r="E61" s="783"/>
      <c r="F61" s="325"/>
      <c r="G61" s="319" t="str">
        <f>IFERROR(IF(E61="","",IF(F61="Direct-from-manufacturer",(E61*H61/1000*'Reporting Year &amp; Inflation Adj.'!$F$9),(E61*I61/1000*'Reporting Year &amp; Inflation Adj.'!$F$9))),"")</f>
        <v/>
      </c>
      <c r="H61" s="790">
        <v>7.4262517269999995E-2</v>
      </c>
      <c r="I61" s="793">
        <v>0.115219310105</v>
      </c>
      <c r="J61" s="324">
        <v>0.35890877698637996</v>
      </c>
      <c r="K61" s="68">
        <v>334510</v>
      </c>
      <c r="L61" s="68" t="s">
        <v>3422</v>
      </c>
      <c r="M61" s="69" t="s">
        <v>440</v>
      </c>
      <c r="N61" s="69" t="s">
        <v>745</v>
      </c>
      <c r="O61" s="70">
        <v>8.7373544659999997E-2</v>
      </c>
      <c r="P61" s="70">
        <v>4.8299902640000003E-2</v>
      </c>
      <c r="Q61" s="70">
        <v>0.13558058592</v>
      </c>
    </row>
    <row r="62" spans="3:17" ht="75">
      <c r="C62" s="321" t="s">
        <v>737</v>
      </c>
      <c r="D62" s="322"/>
      <c r="E62" s="783"/>
      <c r="F62" s="325"/>
      <c r="G62" s="319" t="str">
        <f>IFERROR(IF(E62="","",IF(F62="Direct-from-manufacturer",(E62*H62/1000*'Reporting Year &amp; Inflation Adj.'!$F$9),(E62*I62/1000*'Reporting Year &amp; Inflation Adj.'!$F$9))),"")</f>
        <v/>
      </c>
      <c r="H62" s="790">
        <v>6.9002795254999999E-2</v>
      </c>
      <c r="I62" s="793">
        <v>8.5524334325000007E-2</v>
      </c>
      <c r="J62" s="324">
        <v>0.1933143892377206</v>
      </c>
      <c r="K62" s="68" t="s">
        <v>738</v>
      </c>
      <c r="L62" s="68" t="s">
        <v>3424</v>
      </c>
      <c r="M62" s="69" t="s">
        <v>440</v>
      </c>
      <c r="N62" s="69" t="s">
        <v>739</v>
      </c>
      <c r="O62" s="70">
        <v>8.000109436999997E-2</v>
      </c>
      <c r="P62" s="70">
        <v>1.8703069456000004E-2</v>
      </c>
      <c r="Q62" s="70">
        <v>9.8701057379999999E-2</v>
      </c>
    </row>
    <row r="63" spans="3:17" ht="57">
      <c r="C63" s="321" t="s">
        <v>755</v>
      </c>
      <c r="D63" s="322"/>
      <c r="E63" s="783"/>
      <c r="F63" s="325"/>
      <c r="G63" s="319" t="str">
        <f>IFERROR(IF(E63="","",IF(F63="Direct-from-manufacturer",(E63*H63/1000*'Reporting Year &amp; Inflation Adj.'!$F$9),(E63*I63/1000*'Reporting Year &amp; Inflation Adj.'!$F$9))),"")</f>
        <v/>
      </c>
      <c r="H63" s="790">
        <v>3.5778996404999999E-2</v>
      </c>
      <c r="I63" s="793">
        <v>5.3769592900000003E-2</v>
      </c>
      <c r="J63" s="324">
        <v>0.33462865589224128</v>
      </c>
      <c r="K63" s="68">
        <v>334610</v>
      </c>
      <c r="L63" s="68" t="s">
        <v>3428</v>
      </c>
      <c r="M63" s="69" t="s">
        <v>440</v>
      </c>
      <c r="N63" s="69" t="s">
        <v>757</v>
      </c>
      <c r="O63" s="70">
        <v>4.3093872857999996E-2</v>
      </c>
      <c r="P63" s="70">
        <v>2.085211335E-2</v>
      </c>
      <c r="Q63" s="70">
        <v>6.3956508960000005E-2</v>
      </c>
    </row>
    <row r="64" spans="3:17" ht="42.75">
      <c r="C64" s="321" t="s">
        <v>496</v>
      </c>
      <c r="D64" s="322"/>
      <c r="E64" s="783"/>
      <c r="F64" s="325"/>
      <c r="G64" s="319" t="str">
        <f>IFERROR(IF(E64="","",IF(F64="Direct-from-manufacturer",(E64*H64/1000*'Reporting Year &amp; Inflation Adj.'!$F$9),(E64*I64/1000*'Reporting Year &amp; Inflation Adj.'!$F$9))),"")</f>
        <v/>
      </c>
      <c r="H64" s="790">
        <v>0.44740177244999996</v>
      </c>
      <c r="I64" s="793">
        <v>0.47447582514000003</v>
      </c>
      <c r="J64" s="324">
        <v>5.8145629847125742E-2</v>
      </c>
      <c r="K64" s="68">
        <v>313200</v>
      </c>
      <c r="L64" s="68" t="s">
        <v>3429</v>
      </c>
      <c r="M64" s="69" t="s">
        <v>440</v>
      </c>
      <c r="N64" s="69" t="s">
        <v>498</v>
      </c>
      <c r="O64" s="70">
        <v>0.48375158421999997</v>
      </c>
      <c r="P64" s="70">
        <v>2.7607151759999997E-2</v>
      </c>
      <c r="Q64" s="70">
        <v>0.51101681122000009</v>
      </c>
    </row>
    <row r="65" spans="3:17" ht="57">
      <c r="C65" s="321" t="s">
        <v>677</v>
      </c>
      <c r="D65" s="322"/>
      <c r="E65" s="783"/>
      <c r="F65" s="325"/>
      <c r="G65" s="319" t="str">
        <f>IFERROR(IF(E65="","",IF(F65="Direct-from-manufacturer",(E65*H65/1000*'Reporting Year &amp; Inflation Adj.'!$F$9),(E65*I65/1000*'Reporting Year &amp; Inflation Adj.'!$F$9))),"")</f>
        <v/>
      </c>
      <c r="H65" s="790">
        <v>0.18887338980000004</v>
      </c>
      <c r="I65" s="793">
        <v>0.21273809792999998</v>
      </c>
      <c r="J65" s="324">
        <v>0.11260907596288953</v>
      </c>
      <c r="K65" s="68">
        <v>332996</v>
      </c>
      <c r="L65" s="68" t="s">
        <v>3430</v>
      </c>
      <c r="M65" s="69" t="s">
        <v>440</v>
      </c>
      <c r="N65" s="69" t="s">
        <v>671</v>
      </c>
      <c r="O65" s="70">
        <v>0.21266438655</v>
      </c>
      <c r="P65" s="70">
        <v>2.5964019610000007E-2</v>
      </c>
      <c r="Q65" s="70">
        <v>0.23913367726000001</v>
      </c>
    </row>
    <row r="66" spans="3:17" ht="57">
      <c r="C66" s="321" t="s">
        <v>679</v>
      </c>
      <c r="D66" s="322"/>
      <c r="E66" s="783"/>
      <c r="F66" s="325"/>
      <c r="G66" s="319" t="str">
        <f>IFERROR(IF(E66="","",IF(F66="Direct-from-manufacturer",(E66*H66/1000*'Reporting Year &amp; Inflation Adj.'!$F$9),(E66*I66/1000*'Reporting Year &amp; Inflation Adj.'!$F$9))),"")</f>
        <v/>
      </c>
      <c r="H66" s="790">
        <v>0.16523829909500001</v>
      </c>
      <c r="I66" s="793">
        <v>0.19166852136499998</v>
      </c>
      <c r="J66" s="324">
        <v>0.13678488709720632</v>
      </c>
      <c r="K66" s="68">
        <v>333111</v>
      </c>
      <c r="L66" s="68" t="s">
        <v>3432</v>
      </c>
      <c r="M66" s="69" t="s">
        <v>440</v>
      </c>
      <c r="N66" s="69" t="s">
        <v>681</v>
      </c>
      <c r="O66" s="70">
        <v>0.19201392064</v>
      </c>
      <c r="P66" s="70">
        <v>2.9566364049999995E-2</v>
      </c>
      <c r="Q66" s="70">
        <v>0.22128906178999999</v>
      </c>
    </row>
    <row r="67" spans="3:17" ht="57">
      <c r="C67" s="321" t="s">
        <v>559</v>
      </c>
      <c r="D67" s="322"/>
      <c r="E67" s="783"/>
      <c r="F67" s="325"/>
      <c r="G67" s="319" t="str">
        <f>IFERROR(IF(E67="","",IF(F67="Direct-from-manufacturer",(E67*H67/1000*'Reporting Year &amp; Inflation Adj.'!$F$9),(E67*I67/1000*'Reporting Year &amp; Inflation Adj.'!$F$9))),"")</f>
        <v/>
      </c>
      <c r="H67" s="790">
        <v>1.3099347086950004</v>
      </c>
      <c r="I67" s="793">
        <v>1.3455778888800001</v>
      </c>
      <c r="J67" s="324">
        <v>2.6753623768271086E-2</v>
      </c>
      <c r="K67" s="68">
        <v>325310</v>
      </c>
      <c r="L67" s="68" t="s">
        <v>3433</v>
      </c>
      <c r="M67" s="69" t="s">
        <v>440</v>
      </c>
      <c r="N67" s="69" t="s">
        <v>561</v>
      </c>
      <c r="O67" s="70">
        <v>1.11994197091</v>
      </c>
      <c r="P67" s="70">
        <v>2.3147570039999999E-2</v>
      </c>
      <c r="Q67" s="70">
        <v>1.1429245046600001</v>
      </c>
    </row>
    <row r="68" spans="3:17" ht="57">
      <c r="C68" s="321" t="s">
        <v>493</v>
      </c>
      <c r="D68" s="322"/>
      <c r="E68" s="783"/>
      <c r="F68" s="325"/>
      <c r="G68" s="319" t="str">
        <f>IFERROR(IF(E68="","",IF(F68="Direct-from-manufacturer",(E68*H68/1000*'Reporting Year &amp; Inflation Adj.'!$F$9),(E68*I68/1000*'Reporting Year &amp; Inflation Adj.'!$F$9))),"")</f>
        <v/>
      </c>
      <c r="H68" s="790">
        <v>0.62471326400999994</v>
      </c>
      <c r="I68" s="793">
        <v>0.65013709774999995</v>
      </c>
      <c r="J68" s="324">
        <v>3.9169844480698227E-2</v>
      </c>
      <c r="K68" s="68">
        <v>313100</v>
      </c>
      <c r="L68" s="68" t="s">
        <v>3434</v>
      </c>
      <c r="M68" s="69" t="s">
        <v>440</v>
      </c>
      <c r="N68" s="69" t="s">
        <v>495</v>
      </c>
      <c r="O68" s="70">
        <v>0.64486332693000004</v>
      </c>
      <c r="P68" s="70">
        <v>2.3504613450000007E-2</v>
      </c>
      <c r="Q68" s="70">
        <v>0.66845795864000002</v>
      </c>
    </row>
    <row r="69" spans="3:17" ht="42.75">
      <c r="C69" s="321" t="s">
        <v>499</v>
      </c>
      <c r="D69" s="322"/>
      <c r="E69" s="783"/>
      <c r="F69" s="325"/>
      <c r="G69" s="319" t="str">
        <f>IFERROR(IF(E69="","",IF(F69="Direct-from-manufacturer",(E69*H69/1000*'Reporting Year &amp; Inflation Adj.'!$F$9),(E69*I69/1000*'Reporting Year &amp; Inflation Adj.'!$F$9))),"")</f>
        <v/>
      </c>
      <c r="H69" s="790">
        <v>0.3594383605</v>
      </c>
      <c r="I69" s="793">
        <v>0.38638344068999997</v>
      </c>
      <c r="J69" s="324">
        <v>6.9301156416491885E-2</v>
      </c>
      <c r="K69" s="68">
        <v>313300</v>
      </c>
      <c r="L69" s="68" t="s">
        <v>3435</v>
      </c>
      <c r="M69" s="69" t="s">
        <v>440</v>
      </c>
      <c r="N69" s="69" t="s">
        <v>501</v>
      </c>
      <c r="O69" s="70">
        <v>0.37237954463999995</v>
      </c>
      <c r="P69" s="70">
        <v>2.6681963839999996E-2</v>
      </c>
      <c r="Q69" s="70">
        <v>0.39956357308000001</v>
      </c>
    </row>
    <row r="70" spans="3:17" ht="71.25">
      <c r="C70" s="321" t="s">
        <v>749</v>
      </c>
      <c r="D70" s="322"/>
      <c r="E70" s="783"/>
      <c r="F70" s="325"/>
      <c r="G70" s="319" t="str">
        <f>IFERROR(IF(E70="","",IF(F70="Direct-from-manufacturer",(E70*H70/1000*'Reporting Year &amp; Inflation Adj.'!$F$9),(E70*I70/1000*'Reporting Year &amp; Inflation Adj.'!$F$9))),"")</f>
        <v/>
      </c>
      <c r="H70" s="790">
        <v>5.3515247904999994E-2</v>
      </c>
      <c r="I70" s="793">
        <v>7.2353586954999993E-2</v>
      </c>
      <c r="J70" s="324">
        <v>0.26024261708975016</v>
      </c>
      <c r="K70" s="68">
        <v>334514</v>
      </c>
      <c r="L70" s="68" t="s">
        <v>3438</v>
      </c>
      <c r="M70" s="69" t="s">
        <v>440</v>
      </c>
      <c r="N70" s="69" t="s">
        <v>745</v>
      </c>
      <c r="O70" s="70">
        <v>6.3092087460000001E-2</v>
      </c>
      <c r="P70" s="70">
        <v>2.1643966609999999E-2</v>
      </c>
      <c r="Q70" s="70">
        <v>8.4830302770000018E-2</v>
      </c>
    </row>
    <row r="71" spans="3:17" ht="60">
      <c r="C71" s="321" t="s">
        <v>850</v>
      </c>
      <c r="D71" s="322"/>
      <c r="E71" s="783"/>
      <c r="F71" s="325"/>
      <c r="G71" s="319" t="str">
        <f>IFERROR(IF(E71="","",IF(F71="Direct-from-manufacturer",(E71*H71/1000*'Reporting Year &amp; Inflation Adj.'!$F$9),(E71*I71/1000*'Reporting Year &amp; Inflation Adj.'!$F$9))),"")</f>
        <v/>
      </c>
      <c r="H71" s="790">
        <v>0.10371485095500001</v>
      </c>
      <c r="I71" s="793">
        <v>0.1588236193</v>
      </c>
      <c r="J71" s="324">
        <v>0.34567938161197664</v>
      </c>
      <c r="K71" s="68">
        <v>339990</v>
      </c>
      <c r="L71" s="68" t="s">
        <v>3451</v>
      </c>
      <c r="M71" s="69" t="s">
        <v>440</v>
      </c>
      <c r="N71" s="69" t="s">
        <v>845</v>
      </c>
      <c r="O71" s="70">
        <v>0.12198640546999996</v>
      </c>
      <c r="P71" s="70">
        <v>6.16590386E-2</v>
      </c>
      <c r="Q71" s="70">
        <v>0.18335963027000002</v>
      </c>
    </row>
    <row r="72" spans="3:17" ht="42.75">
      <c r="C72" s="321" t="s">
        <v>542</v>
      </c>
      <c r="D72" s="322"/>
      <c r="E72" s="783"/>
      <c r="F72" s="325"/>
      <c r="G72" s="319" t="str">
        <f>IFERROR(IF(E72="","",IF(F72="Direct-from-manufacturer",(E72*H72/1000*'Reporting Year &amp; Inflation Adj.'!$F$9),(E72*I72/1000*'Reporting Year &amp; Inflation Adj.'!$F$9))),"")</f>
        <v/>
      </c>
      <c r="H72" s="790">
        <v>0.37961026754500005</v>
      </c>
      <c r="I72" s="793">
        <v>0.41401863525499999</v>
      </c>
      <c r="J72" s="324">
        <v>8.3536504241404949E-2</v>
      </c>
      <c r="K72" s="68">
        <v>324110</v>
      </c>
      <c r="L72" s="68" t="s">
        <v>3453</v>
      </c>
      <c r="M72" s="69" t="s">
        <v>440</v>
      </c>
      <c r="N72" s="69" t="s">
        <v>544</v>
      </c>
      <c r="O72" s="70">
        <v>0.25353676877199999</v>
      </c>
      <c r="P72" s="70">
        <v>2.1828799810000004E-2</v>
      </c>
      <c r="Q72" s="70">
        <v>0.27500488003999995</v>
      </c>
    </row>
    <row r="73" spans="3:17" ht="42.75">
      <c r="C73" s="321" t="s">
        <v>599</v>
      </c>
      <c r="D73" s="322"/>
      <c r="E73" s="783"/>
      <c r="F73" s="325"/>
      <c r="G73" s="319" t="str">
        <f>IFERROR(IF(E73="","",IF(F73="Direct-from-manufacturer",(E73*H73/1000*'Reporting Year &amp; Inflation Adj.'!$F$9),(E73*I73/1000*'Reporting Year &amp; Inflation Adj.'!$F$9))),"")</f>
        <v/>
      </c>
      <c r="H73" s="790">
        <v>0.44045211016000008</v>
      </c>
      <c r="I73" s="793">
        <v>0.49574145361999999</v>
      </c>
      <c r="J73" s="324">
        <v>0.11053025303791014</v>
      </c>
      <c r="K73" s="68">
        <v>327200</v>
      </c>
      <c r="L73" s="68" t="s">
        <v>3455</v>
      </c>
      <c r="M73" s="69" t="s">
        <v>440</v>
      </c>
      <c r="N73" s="69" t="s">
        <v>601</v>
      </c>
      <c r="O73" s="70">
        <v>0.53889187302999997</v>
      </c>
      <c r="P73" s="70">
        <v>6.023604028E-2</v>
      </c>
      <c r="Q73" s="70">
        <v>0.59982620883000015</v>
      </c>
    </row>
    <row r="74" spans="3:17" ht="57">
      <c r="C74" s="321" t="s">
        <v>615</v>
      </c>
      <c r="D74" s="322"/>
      <c r="E74" s="783"/>
      <c r="F74" s="325"/>
      <c r="G74" s="319" t="str">
        <f>IFERROR(IF(E74="","",IF(F74="Direct-from-manufacturer",(E74*H74/1000*'Reporting Year &amp; Inflation Adj.'!$F$9),(E74*I74/1000*'Reporting Year &amp; Inflation Adj.'!$F$9))),"")</f>
        <v/>
      </c>
      <c r="H74" s="790">
        <v>0.30971135005500006</v>
      </c>
      <c r="I74" s="793">
        <v>0.42770599726999997</v>
      </c>
      <c r="J74" s="324">
        <v>0.27387049001572678</v>
      </c>
      <c r="K74" s="68">
        <v>327992</v>
      </c>
      <c r="L74" s="68" t="s">
        <v>3459</v>
      </c>
      <c r="M74" s="69" t="s">
        <v>440</v>
      </c>
      <c r="N74" s="69" t="s">
        <v>613</v>
      </c>
      <c r="O74" s="70">
        <v>0.37749026132000002</v>
      </c>
      <c r="P74" s="70">
        <v>0.122086654819</v>
      </c>
      <c r="Q74" s="70">
        <v>0.49949013695</v>
      </c>
    </row>
    <row r="75" spans="3:17" ht="42.75">
      <c r="C75" s="321" t="s">
        <v>805</v>
      </c>
      <c r="D75" s="322"/>
      <c r="E75" s="783"/>
      <c r="F75" s="325"/>
      <c r="G75" s="319" t="str">
        <f>IFERROR(IF(E75="","",IF(F75="Direct-from-manufacturer",(E75*H75/1000*'Reporting Year &amp; Inflation Adj.'!$F$9),(E75*I75/1000*'Reporting Year &amp; Inflation Adj.'!$F$9))),"")</f>
        <v/>
      </c>
      <c r="H75" s="790">
        <v>0.12271119741</v>
      </c>
      <c r="I75" s="793">
        <v>0.13186056723000003</v>
      </c>
      <c r="J75" s="324">
        <v>6.3276694490828025E-2</v>
      </c>
      <c r="K75" s="68">
        <v>336414</v>
      </c>
      <c r="L75" s="68" t="s">
        <v>3460</v>
      </c>
      <c r="M75" s="69" t="s">
        <v>440</v>
      </c>
      <c r="N75" s="69" t="s">
        <v>802</v>
      </c>
      <c r="O75" s="70">
        <v>0.13428172276999997</v>
      </c>
      <c r="P75" s="70">
        <v>8.6316506249999973E-3</v>
      </c>
      <c r="Q75" s="70">
        <v>0.14262741947000002</v>
      </c>
    </row>
    <row r="76" spans="3:17" ht="99.75">
      <c r="C76" s="321" t="s">
        <v>698</v>
      </c>
      <c r="D76" s="322"/>
      <c r="E76" s="783"/>
      <c r="F76" s="325"/>
      <c r="G76" s="319" t="str">
        <f>IFERROR(IF(E76="","",IF(F76="Direct-from-manufacturer",(E76*H76/1000*'Reporting Year &amp; Inflation Adj.'!$F$9),(E76*I76/1000*'Reporting Year &amp; Inflation Adj.'!$F$9))),"")</f>
        <v/>
      </c>
      <c r="H76" s="790">
        <v>0.11045900170499999</v>
      </c>
      <c r="I76" s="793">
        <v>0.14264472157499999</v>
      </c>
      <c r="J76" s="324">
        <v>0.22203466360546259</v>
      </c>
      <c r="K76" s="68">
        <v>333414</v>
      </c>
      <c r="L76" s="68" t="s">
        <v>3463</v>
      </c>
      <c r="M76" s="69" t="s">
        <v>440</v>
      </c>
      <c r="N76" s="69" t="s">
        <v>697</v>
      </c>
      <c r="O76" s="70">
        <v>0.13868294348999999</v>
      </c>
      <c r="P76" s="70">
        <v>3.8823331930000003E-2</v>
      </c>
      <c r="Q76" s="70">
        <v>0.17722039071000001</v>
      </c>
    </row>
    <row r="77" spans="3:17" ht="57">
      <c r="C77" s="321" t="s">
        <v>783</v>
      </c>
      <c r="D77" s="322"/>
      <c r="E77" s="783"/>
      <c r="F77" s="325"/>
      <c r="G77" s="319" t="str">
        <f>IFERROR(IF(E77="","",IF(F77="Direct-from-manufacturer",(E77*H77/1000*'Reporting Year &amp; Inflation Adj.'!$F$9),(E77*I77/1000*'Reporting Year &amp; Inflation Adj.'!$F$9))),"")</f>
        <v/>
      </c>
      <c r="H77" s="790">
        <v>0.23802552204999999</v>
      </c>
      <c r="I77" s="793">
        <v>0.24855214950000001</v>
      </c>
      <c r="J77" s="324">
        <v>4.0894398115032191E-2</v>
      </c>
      <c r="K77" s="68">
        <v>336120</v>
      </c>
      <c r="L77" s="68" t="s">
        <v>3464</v>
      </c>
      <c r="M77" s="69" t="s">
        <v>440</v>
      </c>
      <c r="N77" s="69" t="s">
        <v>781</v>
      </c>
      <c r="O77" s="70">
        <v>0.26406660048000002</v>
      </c>
      <c r="P77" s="70">
        <v>1.0717657366000001E-2</v>
      </c>
      <c r="Q77" s="70">
        <v>0.27482329713999992</v>
      </c>
    </row>
    <row r="78" spans="3:17" ht="57">
      <c r="C78" s="321" t="s">
        <v>654</v>
      </c>
      <c r="D78" s="322"/>
      <c r="E78" s="783"/>
      <c r="F78" s="325"/>
      <c r="G78" s="319" t="str">
        <f>IFERROR(IF(E78="","",IF(F78="Direct-from-manufacturer",(E78*H78/1000*'Reporting Year &amp; Inflation Adj.'!$F$9),(E78*I78/1000*'Reporting Year &amp; Inflation Adj.'!$F$9))),"")</f>
        <v/>
      </c>
      <c r="H78" s="790">
        <v>0.21624735343000001</v>
      </c>
      <c r="I78" s="793">
        <v>0.22665565005000005</v>
      </c>
      <c r="J78" s="324">
        <v>4.6667844632007217E-2</v>
      </c>
      <c r="K78" s="68">
        <v>332420</v>
      </c>
      <c r="L78" s="68" t="s">
        <v>3465</v>
      </c>
      <c r="M78" s="69" t="s">
        <v>440</v>
      </c>
      <c r="N78" s="69" t="s">
        <v>653</v>
      </c>
      <c r="O78" s="70">
        <v>0.26830507997999997</v>
      </c>
      <c r="P78" s="70">
        <v>1.1998914017E-2</v>
      </c>
      <c r="Q78" s="70">
        <v>0.28009776600999997</v>
      </c>
    </row>
    <row r="79" spans="3:17" ht="57">
      <c r="C79" s="321" t="s">
        <v>825</v>
      </c>
      <c r="D79" s="322"/>
      <c r="E79" s="783"/>
      <c r="F79" s="325"/>
      <c r="G79" s="319" t="str">
        <f>IFERROR(IF(E79="","",IF(F79="Direct-from-manufacturer",(E79*H79/1000*'Reporting Year &amp; Inflation Adj.'!$F$9),(E79*I79/1000*'Reporting Year &amp; Inflation Adj.'!$F$9))),"")</f>
        <v/>
      </c>
      <c r="H79" s="790">
        <v>0.16184776917999993</v>
      </c>
      <c r="I79" s="793">
        <v>0.22000934945</v>
      </c>
      <c r="J79" s="324">
        <v>0.26437608504096238</v>
      </c>
      <c r="K79" s="68" t="s">
        <v>826</v>
      </c>
      <c r="L79" s="68" t="s">
        <v>3467</v>
      </c>
      <c r="M79" s="69" t="s">
        <v>440</v>
      </c>
      <c r="N79" s="69" t="s">
        <v>822</v>
      </c>
      <c r="O79" s="70">
        <v>0.16960555661999999</v>
      </c>
      <c r="P79" s="70">
        <v>5.9420953670000005E-2</v>
      </c>
      <c r="Q79" s="70">
        <v>0.2293223925</v>
      </c>
    </row>
    <row r="80" spans="3:17" ht="57">
      <c r="C80" s="321" t="s">
        <v>823</v>
      </c>
      <c r="D80" s="322"/>
      <c r="E80" s="783"/>
      <c r="F80" s="325"/>
      <c r="G80" s="319" t="str">
        <f>IFERROR(IF(E80="","",IF(F80="Direct-from-manufacturer",(E80*H80/1000*'Reporting Year &amp; Inflation Adj.'!$F$9),(E80*I80/1000*'Reporting Year &amp; Inflation Adj.'!$F$9))),"")</f>
        <v/>
      </c>
      <c r="H80" s="790">
        <v>0.12166806788999998</v>
      </c>
      <c r="I80" s="793">
        <v>0.17496030729999995</v>
      </c>
      <c r="J80" s="324">
        <v>0.30160092997276078</v>
      </c>
      <c r="K80" s="68">
        <v>337121</v>
      </c>
      <c r="L80" s="68" t="s">
        <v>3468</v>
      </c>
      <c r="M80" s="69" t="s">
        <v>440</v>
      </c>
      <c r="N80" s="69" t="s">
        <v>822</v>
      </c>
      <c r="O80" s="70">
        <v>0.13344645305000002</v>
      </c>
      <c r="P80" s="70">
        <v>5.5769043589999998E-2</v>
      </c>
      <c r="Q80" s="70">
        <v>0.18964391036</v>
      </c>
    </row>
    <row r="81" spans="3:17" ht="57">
      <c r="C81" s="321" t="s">
        <v>824</v>
      </c>
      <c r="D81" s="322"/>
      <c r="E81" s="783"/>
      <c r="F81" s="325"/>
      <c r="G81" s="319" t="str">
        <f>IFERROR(IF(E81="","",IF(F81="Direct-from-manufacturer",(E81*H81/1000*'Reporting Year &amp; Inflation Adj.'!$F$9),(E81*I81/1000*'Reporting Year &amp; Inflation Adj.'!$F$9))),"")</f>
        <v/>
      </c>
      <c r="H81" s="790">
        <v>0.10982025997</v>
      </c>
      <c r="I81" s="793">
        <v>0.163704092375</v>
      </c>
      <c r="J81" s="324">
        <v>0.33042138971756418</v>
      </c>
      <c r="K81" s="68">
        <v>337122</v>
      </c>
      <c r="L81" s="68" t="s">
        <v>3469</v>
      </c>
      <c r="M81" s="69" t="s">
        <v>440</v>
      </c>
      <c r="N81" s="69" t="s">
        <v>822</v>
      </c>
      <c r="O81" s="70">
        <v>0.12120145026</v>
      </c>
      <c r="P81" s="70">
        <v>5.7639807170000001E-2</v>
      </c>
      <c r="Q81" s="70">
        <v>0.17864038063000001</v>
      </c>
    </row>
    <row r="82" spans="3:17" ht="42.75">
      <c r="C82" s="321" t="s">
        <v>722</v>
      </c>
      <c r="D82" s="322"/>
      <c r="E82" s="783"/>
      <c r="F82" s="325"/>
      <c r="G82" s="319" t="str">
        <f>IFERROR(IF(E82="","",IF(F82="Direct-from-manufacturer",(E82*H82/1000*'Reporting Year &amp; Inflation Adj.'!$F$9),(E82*I82/1000*'Reporting Year &amp; Inflation Adj.'!$F$9))),"")</f>
        <v/>
      </c>
      <c r="H82" s="790">
        <v>0.154064528895</v>
      </c>
      <c r="I82" s="793">
        <v>0.17290582262999998</v>
      </c>
      <c r="J82" s="324">
        <v>0.10673589260491403</v>
      </c>
      <c r="K82" s="68" t="s">
        <v>723</v>
      </c>
      <c r="L82" s="68" t="s">
        <v>3475</v>
      </c>
      <c r="M82" s="69" t="s">
        <v>440</v>
      </c>
      <c r="N82" s="69" t="s">
        <v>715</v>
      </c>
      <c r="O82" s="70">
        <v>0.18221222057000003</v>
      </c>
      <c r="P82" s="70">
        <v>2.0898423909999998E-2</v>
      </c>
      <c r="Q82" s="70">
        <v>0.20372519545000001</v>
      </c>
    </row>
    <row r="83" spans="3:17" ht="28.5">
      <c r="C83" s="321" t="s">
        <v>463</v>
      </c>
      <c r="D83" s="322"/>
      <c r="E83" s="783"/>
      <c r="F83" s="325"/>
      <c r="G83" s="319" t="str">
        <f>IFERROR(IF(E83="","",IF(F83="Direct-from-manufacturer",(E83*H83/1000*'Reporting Year &amp; Inflation Adj.'!$F$9),(E83*I83/1000*'Reporting Year &amp; Inflation Adj.'!$F$9))),"")</f>
        <v/>
      </c>
      <c r="H83" s="790">
        <v>0.4993601473</v>
      </c>
      <c r="I83" s="793">
        <v>0.52640631485</v>
      </c>
      <c r="J83" s="324">
        <v>5.1997582500125664E-2</v>
      </c>
      <c r="K83" s="68">
        <v>311520</v>
      </c>
      <c r="L83" s="68" t="s">
        <v>3476</v>
      </c>
      <c r="M83" s="69" t="s">
        <v>440</v>
      </c>
      <c r="N83" s="69" t="s">
        <v>459</v>
      </c>
      <c r="O83" s="70">
        <v>0.5673655220399999</v>
      </c>
      <c r="P83" s="70">
        <v>3.0172089099999997E-2</v>
      </c>
      <c r="Q83" s="70">
        <v>0.59700082928000009</v>
      </c>
    </row>
    <row r="84" spans="3:17" ht="42.75">
      <c r="C84" s="321" t="s">
        <v>700</v>
      </c>
      <c r="D84" s="322"/>
      <c r="E84" s="783"/>
      <c r="F84" s="325"/>
      <c r="G84" s="319" t="str">
        <f>IFERROR(IF(E84="","",IF(F84="Direct-from-manufacturer",(E84*H84/1000*'Reporting Year &amp; Inflation Adj.'!$F$9),(E84*I84/1000*'Reporting Year &amp; Inflation Adj.'!$F$9))),"")</f>
        <v/>
      </c>
      <c r="H84" s="790">
        <v>0.20466669016</v>
      </c>
      <c r="I84" s="793">
        <v>0.22714308710499995</v>
      </c>
      <c r="J84" s="324">
        <v>9.896673287093477E-2</v>
      </c>
      <c r="K84" s="68">
        <v>333511</v>
      </c>
      <c r="L84" s="68" t="s">
        <v>3480</v>
      </c>
      <c r="M84" s="69" t="s">
        <v>440</v>
      </c>
      <c r="N84" s="69" t="s">
        <v>702</v>
      </c>
      <c r="O84" s="70">
        <v>0.23756957009000002</v>
      </c>
      <c r="P84" s="70">
        <v>2.5363460099999999E-2</v>
      </c>
      <c r="Q84" s="70">
        <v>0.26280958612999999</v>
      </c>
    </row>
    <row r="85" spans="3:17" ht="42.75">
      <c r="C85" s="321" t="s">
        <v>721</v>
      </c>
      <c r="D85" s="322"/>
      <c r="E85" s="783"/>
      <c r="F85" s="325"/>
      <c r="G85" s="319" t="str">
        <f>IFERROR(IF(E85="","",IF(F85="Direct-from-manufacturer",(E85*H85/1000*'Reporting Year &amp; Inflation Adj.'!$F$9),(E85*I85/1000*'Reporting Year &amp; Inflation Adj.'!$F$9))),"")</f>
        <v/>
      </c>
      <c r="H85" s="790">
        <v>0.14220244531000001</v>
      </c>
      <c r="I85" s="793">
        <v>0.16125565123500005</v>
      </c>
      <c r="J85" s="324">
        <v>0.12110810988905801</v>
      </c>
      <c r="K85" s="68">
        <v>333994</v>
      </c>
      <c r="L85" s="68" t="s">
        <v>3481</v>
      </c>
      <c r="M85" s="69" t="s">
        <v>440</v>
      </c>
      <c r="N85" s="69" t="s">
        <v>715</v>
      </c>
      <c r="O85" s="70">
        <v>0.16882741662999998</v>
      </c>
      <c r="P85" s="70">
        <v>2.2228534009999995E-2</v>
      </c>
      <c r="Q85" s="70">
        <v>0.19057880963999999</v>
      </c>
    </row>
    <row r="86" spans="3:17" ht="71.25">
      <c r="C86" s="321" t="s">
        <v>748</v>
      </c>
      <c r="D86" s="322"/>
      <c r="E86" s="783"/>
      <c r="F86" s="325"/>
      <c r="G86" s="319" t="str">
        <f>IFERROR(IF(E86="","",IF(F86="Direct-from-manufacturer",(E86*H86/1000*'Reporting Year &amp; Inflation Adj.'!$F$9),(E86*I86/1000*'Reporting Year &amp; Inflation Adj.'!$F$9))),"")</f>
        <v/>
      </c>
      <c r="H86" s="790">
        <v>4.0007717714999995E-2</v>
      </c>
      <c r="I86" s="793">
        <v>5.2965787740000006E-2</v>
      </c>
      <c r="J86" s="324">
        <v>0.24489759811887202</v>
      </c>
      <c r="K86" s="68">
        <v>334513</v>
      </c>
      <c r="L86" s="68" t="s">
        <v>3482</v>
      </c>
      <c r="M86" s="69" t="s">
        <v>440</v>
      </c>
      <c r="N86" s="69" t="s">
        <v>745</v>
      </c>
      <c r="O86" s="70">
        <v>4.7831406266999985E-2</v>
      </c>
      <c r="P86" s="70">
        <v>1.5423169514999998E-2</v>
      </c>
      <c r="Q86" s="70">
        <v>6.3152321520000013E-2</v>
      </c>
    </row>
    <row r="87" spans="3:17" ht="57">
      <c r="C87" s="321" t="s">
        <v>577</v>
      </c>
      <c r="D87" s="322"/>
      <c r="E87" s="783"/>
      <c r="F87" s="325"/>
      <c r="G87" s="319" t="str">
        <f>IFERROR(IF(E87="","",IF(F87="Direct-from-manufacturer",(E87*H87/1000*'Reporting Year &amp; Inflation Adj.'!$F$9),(E87*I87/1000*'Reporting Year &amp; Inflation Adj.'!$F$9))),"")</f>
        <v/>
      </c>
      <c r="H87" s="790">
        <v>0.31103360727000012</v>
      </c>
      <c r="I87" s="793">
        <v>0.33975540949000005</v>
      </c>
      <c r="J87" s="324">
        <v>8.5393282710496288E-2</v>
      </c>
      <c r="K87" s="68">
        <v>325910</v>
      </c>
      <c r="L87" s="68" t="s">
        <v>3483</v>
      </c>
      <c r="M87" s="69" t="s">
        <v>440</v>
      </c>
      <c r="N87" s="69" t="s">
        <v>579</v>
      </c>
      <c r="O87" s="70">
        <v>0.35734212793000003</v>
      </c>
      <c r="P87" s="70">
        <v>3.1348237670000001E-2</v>
      </c>
      <c r="Q87" s="70">
        <v>0.38879140952999991</v>
      </c>
    </row>
    <row r="88" spans="3:17" ht="71.25">
      <c r="C88" s="321" t="s">
        <v>827</v>
      </c>
      <c r="D88" s="322"/>
      <c r="E88" s="783"/>
      <c r="F88" s="325"/>
      <c r="G88" s="319" t="str">
        <f>IFERROR(IF(E88="","",IF(F88="Direct-from-manufacturer",(E88*H88/1000*'Reporting Year &amp; Inflation Adj.'!$F$9),(E88*I88/1000*'Reporting Year &amp; Inflation Adj.'!$F$9))),"")</f>
        <v/>
      </c>
      <c r="H88" s="790">
        <v>0.17743114093500001</v>
      </c>
      <c r="I88" s="793">
        <v>0.212917359035</v>
      </c>
      <c r="J88" s="324">
        <v>0.16300760444006229</v>
      </c>
      <c r="K88" s="68">
        <v>337127</v>
      </c>
      <c r="L88" s="68" t="s">
        <v>3484</v>
      </c>
      <c r="M88" s="69" t="s">
        <v>440</v>
      </c>
      <c r="N88" s="69" t="s">
        <v>822</v>
      </c>
      <c r="O88" s="70">
        <v>0.20948031017999999</v>
      </c>
      <c r="P88" s="70">
        <v>3.8077582010000006E-2</v>
      </c>
      <c r="Q88" s="70">
        <v>0.24807488677999998</v>
      </c>
    </row>
    <row r="89" spans="3:17" ht="71.25">
      <c r="C89" s="321" t="s">
        <v>375</v>
      </c>
      <c r="D89" s="322"/>
      <c r="E89" s="783"/>
      <c r="F89" s="325"/>
      <c r="G89" s="319" t="str">
        <f>IFERROR(IF(E89="","",IF(F89="Direct-from-manufacturer",(E89*H89/1000*'Reporting Year &amp; Inflation Adj.'!$F$9),(E89*I89/1000*'Reporting Year &amp; Inflation Adj.'!$F$9))),"")</f>
        <v/>
      </c>
      <c r="H89" s="790">
        <v>0.48623241506000003</v>
      </c>
      <c r="I89" s="793">
        <v>0.53463620537500001</v>
      </c>
      <c r="J89" s="324">
        <v>8.9394093972699082E-2</v>
      </c>
      <c r="K89" s="68" t="s">
        <v>376</v>
      </c>
      <c r="L89" s="68" t="s">
        <v>3490</v>
      </c>
      <c r="M89" s="69" t="s">
        <v>371</v>
      </c>
      <c r="N89" s="69" t="s">
        <v>377</v>
      </c>
      <c r="O89" s="70">
        <v>0.54143848910000014</v>
      </c>
      <c r="P89" s="70">
        <v>5.4069816643999999E-2</v>
      </c>
      <c r="Q89" s="70">
        <v>0.59556360873000003</v>
      </c>
    </row>
    <row r="90" spans="3:17" ht="71.25">
      <c r="C90" s="321" t="s">
        <v>752</v>
      </c>
      <c r="D90" s="322"/>
      <c r="E90" s="783"/>
      <c r="F90" s="325"/>
      <c r="G90" s="319" t="str">
        <f>IFERROR(IF(E90="","",IF(F90="Direct-from-manufacturer",(E90*H90/1000*'Reporting Year &amp; Inflation Adj.'!$F$9),(E90*I90/1000*'Reporting Year &amp; Inflation Adj.'!$F$9))),"")</f>
        <v/>
      </c>
      <c r="H90" s="790">
        <v>8.797950136499999E-2</v>
      </c>
      <c r="I90" s="793">
        <v>0.12247572413500002</v>
      </c>
      <c r="J90" s="324">
        <v>0.28492633782295451</v>
      </c>
      <c r="K90" s="68">
        <v>334517</v>
      </c>
      <c r="L90" s="68" t="s">
        <v>3491</v>
      </c>
      <c r="M90" s="69" t="s">
        <v>440</v>
      </c>
      <c r="N90" s="69" t="s">
        <v>745</v>
      </c>
      <c r="O90" s="70">
        <v>9.7063799700000009E-2</v>
      </c>
      <c r="P90" s="70">
        <v>3.8608581980000001E-2</v>
      </c>
      <c r="Q90" s="70">
        <v>0.13599313787</v>
      </c>
    </row>
    <row r="91" spans="3:17" ht="156.75">
      <c r="C91" s="321" t="s">
        <v>843</v>
      </c>
      <c r="D91" s="322"/>
      <c r="E91" s="783"/>
      <c r="F91" s="325"/>
      <c r="G91" s="319" t="str">
        <f>IFERROR(IF(E91="","",IF(F91="Direct-from-manufacturer",(E91*H91/1000*'Reporting Year &amp; Inflation Adj.'!$F$9),(E91*I91/1000*'Reporting Year &amp; Inflation Adj.'!$F$9))),"")</f>
        <v/>
      </c>
      <c r="H91" s="790">
        <v>4.8645968315000003E-2</v>
      </c>
      <c r="I91" s="793">
        <v>9.3569343035000002E-2</v>
      </c>
      <c r="J91" s="324">
        <v>0.4800855605366065</v>
      </c>
      <c r="K91" s="68">
        <v>339910</v>
      </c>
      <c r="L91" s="68" t="s">
        <v>3492</v>
      </c>
      <c r="M91" s="69" t="s">
        <v>440</v>
      </c>
      <c r="N91" s="69" t="s">
        <v>845</v>
      </c>
      <c r="O91" s="70">
        <v>5.4989989879999999E-2</v>
      </c>
      <c r="P91" s="70">
        <v>5.3982164269999987E-2</v>
      </c>
      <c r="Q91" s="70">
        <v>0.10896814185999998</v>
      </c>
    </row>
    <row r="92" spans="3:17" ht="42.75">
      <c r="C92" s="321" t="s">
        <v>586</v>
      </c>
      <c r="D92" s="322"/>
      <c r="E92" s="783"/>
      <c r="F92" s="325"/>
      <c r="G92" s="319" t="str">
        <f>IFERROR(IF(E92="","",IF(F92="Direct-from-manufacturer",(E92*H92/1000*'Reporting Year &amp; Inflation Adj.'!$F$9),(E92*I92/1000*'Reporting Year &amp; Inflation Adj.'!$F$9))),"")</f>
        <v/>
      </c>
      <c r="H92" s="790">
        <v>0.37356001502000008</v>
      </c>
      <c r="I92" s="793">
        <v>0.39028817868999999</v>
      </c>
      <c r="J92" s="324">
        <v>4.4667516778280215E-2</v>
      </c>
      <c r="K92" s="68">
        <v>326130</v>
      </c>
      <c r="L92" s="68" t="s">
        <v>3493</v>
      </c>
      <c r="M92" s="69" t="s">
        <v>440</v>
      </c>
      <c r="N92" s="69" t="s">
        <v>584</v>
      </c>
      <c r="O92" s="70">
        <v>0.44277992917000009</v>
      </c>
      <c r="P92" s="70">
        <v>1.9023083191999999E-2</v>
      </c>
      <c r="Q92" s="70">
        <v>0.46204104807000002</v>
      </c>
    </row>
    <row r="93" spans="3:17" ht="57">
      <c r="C93" s="321" t="s">
        <v>682</v>
      </c>
      <c r="D93" s="322"/>
      <c r="E93" s="783"/>
      <c r="F93" s="325"/>
      <c r="G93" s="319" t="str">
        <f>IFERROR(IF(E93="","",IF(F93="Direct-from-manufacturer",(E93*H93/1000*'Reporting Year &amp; Inflation Adj.'!$F$9),(E93*I93/1000*'Reporting Year &amp; Inflation Adj.'!$F$9))),"")</f>
        <v/>
      </c>
      <c r="H93" s="790">
        <v>4.5442194774999993E-2</v>
      </c>
      <c r="I93" s="793">
        <v>0.10575653463</v>
      </c>
      <c r="J93" s="324">
        <v>0.57016831140470214</v>
      </c>
      <c r="K93" s="68">
        <v>333112</v>
      </c>
      <c r="L93" s="68" t="s">
        <v>3495</v>
      </c>
      <c r="M93" s="69" t="s">
        <v>440</v>
      </c>
      <c r="N93" s="69" t="s">
        <v>681</v>
      </c>
      <c r="O93" s="70">
        <v>5.1969694279000007E-2</v>
      </c>
      <c r="P93" s="70">
        <v>6.9030405209999993E-2</v>
      </c>
      <c r="Q93" s="70">
        <v>0.12122637351999997</v>
      </c>
    </row>
    <row r="94" spans="3:17" ht="171">
      <c r="C94" s="321" t="s">
        <v>512</v>
      </c>
      <c r="D94" s="322"/>
      <c r="E94" s="783"/>
      <c r="F94" s="325"/>
      <c r="G94" s="319" t="str">
        <f>IFERROR(IF(E94="","",IF(F94="Direct-from-manufacturer",(E94*H94/1000*'Reporting Year &amp; Inflation Adj.'!$F$9),(E94*I94/1000*'Reporting Year &amp; Inflation Adj.'!$F$9))),"")</f>
        <v/>
      </c>
      <c r="H94" s="790">
        <v>0.19587081180000007</v>
      </c>
      <c r="I94" s="793">
        <v>0.24956612236000003</v>
      </c>
      <c r="J94" s="324">
        <v>0.21520679254103867</v>
      </c>
      <c r="K94" s="68">
        <v>316000</v>
      </c>
      <c r="L94" s="68" t="s">
        <v>3496</v>
      </c>
      <c r="M94" s="69" t="s">
        <v>440</v>
      </c>
      <c r="N94" s="69" t="s">
        <v>514</v>
      </c>
      <c r="O94" s="70">
        <v>0.22960933227999991</v>
      </c>
      <c r="P94" s="70">
        <v>6.0481978990000004E-2</v>
      </c>
      <c r="Q94" s="70">
        <v>0.28988555207</v>
      </c>
    </row>
    <row r="95" spans="3:17" ht="114">
      <c r="C95" s="321" t="s">
        <v>643</v>
      </c>
      <c r="D95" s="322"/>
      <c r="E95" s="783"/>
      <c r="F95" s="325"/>
      <c r="G95" s="319" t="str">
        <f>IFERROR(IF(E95="","",IF(F95="Direct-from-manufacturer",(E95*H95/1000*'Reporting Year &amp; Inflation Adj.'!$F$9),(E95*I95/1000*'Reporting Year &amp; Inflation Adj.'!$F$9))),"")</f>
        <v/>
      </c>
      <c r="H95" s="790">
        <v>0.26717776914000002</v>
      </c>
      <c r="I95" s="793">
        <v>0.29221426625499997</v>
      </c>
      <c r="J95" s="324">
        <v>8.5729940622196965E-2</v>
      </c>
      <c r="K95" s="68">
        <v>332119</v>
      </c>
      <c r="L95" s="68" t="s">
        <v>3500</v>
      </c>
      <c r="M95" s="69" t="s">
        <v>440</v>
      </c>
      <c r="N95" s="69" t="s">
        <v>640</v>
      </c>
      <c r="O95" s="70">
        <v>0.29404339915000005</v>
      </c>
      <c r="P95" s="70">
        <v>2.6377178970000005E-2</v>
      </c>
      <c r="Q95" s="70">
        <v>0.32064563653</v>
      </c>
    </row>
    <row r="96" spans="3:17" ht="42.75">
      <c r="C96" s="321" t="s">
        <v>758</v>
      </c>
      <c r="D96" s="322"/>
      <c r="E96" s="783"/>
      <c r="F96" s="325"/>
      <c r="G96" s="319" t="str">
        <f>IFERROR(IF(E96="","",IF(F96="Direct-from-manufacturer",(E96*H96/1000*'Reporting Year &amp; Inflation Adj.'!$F$9),(E96*I96/1000*'Reporting Year &amp; Inflation Adj.'!$F$9))),"")</f>
        <v/>
      </c>
      <c r="H96" s="790">
        <v>8.3538911415000014E-2</v>
      </c>
      <c r="I96" s="793">
        <v>0.14570747029499997</v>
      </c>
      <c r="J96" s="324">
        <v>0.42812371193943266</v>
      </c>
      <c r="K96" s="68">
        <v>335110</v>
      </c>
      <c r="L96" s="68" t="s">
        <v>3501</v>
      </c>
      <c r="M96" s="69" t="s">
        <v>440</v>
      </c>
      <c r="N96" s="69" t="s">
        <v>760</v>
      </c>
      <c r="O96" s="70">
        <v>9.9619945400000021E-2</v>
      </c>
      <c r="P96" s="70">
        <v>7.4918326369999996E-2</v>
      </c>
      <c r="Q96" s="70">
        <v>0.17483735181999999</v>
      </c>
    </row>
    <row r="97" spans="3:17" ht="42.75">
      <c r="C97" s="321" t="s">
        <v>761</v>
      </c>
      <c r="D97" s="322"/>
      <c r="E97" s="783"/>
      <c r="F97" s="325"/>
      <c r="G97" s="319" t="str">
        <f>IFERROR(IF(E97="","",IF(F97="Direct-from-manufacturer",(E97*H97/1000*'Reporting Year &amp; Inflation Adj.'!$F$9),(E97*I97/1000*'Reporting Year &amp; Inflation Adj.'!$F$9))),"")</f>
        <v/>
      </c>
      <c r="H97" s="790">
        <v>0.12144595032499998</v>
      </c>
      <c r="I97" s="793">
        <v>0.16551800824499996</v>
      </c>
      <c r="J97" s="324">
        <v>0.26698414781906316</v>
      </c>
      <c r="K97" s="68">
        <v>335120</v>
      </c>
      <c r="L97" s="68" t="s">
        <v>3502</v>
      </c>
      <c r="M97" s="69" t="s">
        <v>440</v>
      </c>
      <c r="N97" s="69" t="s">
        <v>760</v>
      </c>
      <c r="O97" s="70">
        <v>0.13818442533000003</v>
      </c>
      <c r="P97" s="70">
        <v>4.774318327999999E-2</v>
      </c>
      <c r="Q97" s="70">
        <v>0.18642977860999999</v>
      </c>
    </row>
    <row r="98" spans="3:17" ht="57">
      <c r="C98" s="321" t="s">
        <v>655</v>
      </c>
      <c r="D98" s="322"/>
      <c r="E98" s="783"/>
      <c r="F98" s="325"/>
      <c r="G98" s="319" t="str">
        <f>IFERROR(IF(E98="","",IF(F98="Direct-from-manufacturer",(E98*H98/1000*'Reporting Year &amp; Inflation Adj.'!$F$9),(E98*I98/1000*'Reporting Year &amp; Inflation Adj.'!$F$9))),"")</f>
        <v/>
      </c>
      <c r="H98" s="790">
        <v>0.30365725708000002</v>
      </c>
      <c r="I98" s="793">
        <v>0.32112661749499999</v>
      </c>
      <c r="J98" s="324">
        <v>5.3797857461220865E-2</v>
      </c>
      <c r="K98" s="68">
        <v>332430</v>
      </c>
      <c r="L98" s="68" t="s">
        <v>3503</v>
      </c>
      <c r="M98" s="69" t="s">
        <v>440</v>
      </c>
      <c r="N98" s="69" t="s">
        <v>653</v>
      </c>
      <c r="O98" s="70">
        <v>0.30446170125000005</v>
      </c>
      <c r="P98" s="70">
        <v>1.6628336758999995E-2</v>
      </c>
      <c r="Q98" s="70">
        <v>0.3210771509</v>
      </c>
    </row>
    <row r="99" spans="3:17" ht="42.75">
      <c r="C99" s="321" t="s">
        <v>608</v>
      </c>
      <c r="D99" s="322"/>
      <c r="E99" s="783"/>
      <c r="F99" s="325"/>
      <c r="G99" s="319" t="str">
        <f>IFERROR(IF(E99="","",IF(F99="Direct-from-manufacturer",(E99*H99/1000*'Reporting Year &amp; Inflation Adj.'!$F$9),(E99*I99/1000*'Reporting Year &amp; Inflation Adj.'!$F$9))),"")</f>
        <v/>
      </c>
      <c r="H99" s="790">
        <v>1.1301121352450003</v>
      </c>
      <c r="I99" s="793">
        <v>1.1869002558399999</v>
      </c>
      <c r="J99" s="324">
        <v>4.6118154196757473E-2</v>
      </c>
      <c r="K99" s="68">
        <v>327400</v>
      </c>
      <c r="L99" s="68" t="s">
        <v>3504</v>
      </c>
      <c r="M99" s="69" t="s">
        <v>440</v>
      </c>
      <c r="N99" s="69" t="s">
        <v>610</v>
      </c>
      <c r="O99" s="70">
        <v>1.5648657424599999</v>
      </c>
      <c r="P99" s="70">
        <v>6.3704883390000022E-2</v>
      </c>
      <c r="Q99" s="70">
        <v>1.6238222908600002</v>
      </c>
    </row>
    <row r="100" spans="3:17" ht="71.25">
      <c r="C100" s="321" t="s">
        <v>515</v>
      </c>
      <c r="D100" s="322"/>
      <c r="E100" s="783"/>
      <c r="F100" s="325"/>
      <c r="G100" s="319" t="str">
        <f>IFERROR(IF(E100="","",IF(F100="Direct-from-manufacturer",(E100*H100/1000*'Reporting Year &amp; Inflation Adj.'!$F$9),(E100*I100/1000*'Reporting Year &amp; Inflation Adj.'!$F$9))),"")</f>
        <v/>
      </c>
      <c r="H100" s="790">
        <v>0.25826116233999996</v>
      </c>
      <c r="I100" s="793">
        <v>0.30456027269999997</v>
      </c>
      <c r="J100" s="324">
        <v>0.15206480030840874</v>
      </c>
      <c r="K100" s="68">
        <v>321100</v>
      </c>
      <c r="L100" s="68" t="s">
        <v>3506</v>
      </c>
      <c r="M100" s="69" t="s">
        <v>440</v>
      </c>
      <c r="N100" s="69" t="s">
        <v>517</v>
      </c>
      <c r="O100" s="70">
        <v>0.22934040504999997</v>
      </c>
      <c r="P100" s="70">
        <v>3.7349531500000005E-2</v>
      </c>
      <c r="Q100" s="70">
        <v>0.26688500294999995</v>
      </c>
    </row>
    <row r="101" spans="3:17" ht="71.25">
      <c r="C101" s="321" t="s">
        <v>662</v>
      </c>
      <c r="D101" s="322"/>
      <c r="E101" s="783"/>
      <c r="F101" s="325"/>
      <c r="G101" s="319" t="str">
        <f>IFERROR(IF(E101="","",IF(F101="Direct-from-manufacturer",(E101*H101/1000*'Reporting Year &amp; Inflation Adj.'!$F$9),(E101*I101/1000*'Reporting Year &amp; Inflation Adj.'!$F$9))),"")</f>
        <v/>
      </c>
      <c r="H101" s="790">
        <v>0.239481297195</v>
      </c>
      <c r="I101" s="793">
        <v>0.25625921738000002</v>
      </c>
      <c r="J101" s="324">
        <v>6.2293342624739727E-2</v>
      </c>
      <c r="K101" s="68">
        <v>332710</v>
      </c>
      <c r="L101" s="68" t="s">
        <v>3507</v>
      </c>
      <c r="M101" s="69" t="s">
        <v>440</v>
      </c>
      <c r="N101" s="69" t="s">
        <v>664</v>
      </c>
      <c r="O101" s="70">
        <v>0.26290904342000004</v>
      </c>
      <c r="P101" s="70">
        <v>1.5984254212499997E-2</v>
      </c>
      <c r="Q101" s="70">
        <v>0.27897979502999992</v>
      </c>
    </row>
    <row r="102" spans="3:17" ht="99.75">
      <c r="C102" s="321" t="s">
        <v>685</v>
      </c>
      <c r="D102" s="322"/>
      <c r="E102" s="783"/>
      <c r="F102" s="325"/>
      <c r="G102" s="319" t="str">
        <f>IFERROR(IF(E102="","",IF(F102="Direct-from-manufacturer",(E102*H102/1000*'Reporting Year &amp; Inflation Adj.'!$F$9),(E102*I102/1000*'Reporting Year &amp; Inflation Adj.'!$F$9))),"")</f>
        <v/>
      </c>
      <c r="H102" s="790">
        <v>0.148825685565</v>
      </c>
      <c r="I102" s="793">
        <v>0.16545073474999999</v>
      </c>
      <c r="J102" s="324">
        <v>0.10366740365896139</v>
      </c>
      <c r="K102" s="68" t="s">
        <v>686</v>
      </c>
      <c r="L102" s="68" t="s">
        <v>3508</v>
      </c>
      <c r="M102" s="69" t="s">
        <v>440</v>
      </c>
      <c r="N102" s="69" t="s">
        <v>687</v>
      </c>
      <c r="O102" s="70">
        <v>0.16699157810000001</v>
      </c>
      <c r="P102" s="70">
        <v>1.9184227981000002E-2</v>
      </c>
      <c r="Q102" s="70">
        <v>0.18618044695000002</v>
      </c>
    </row>
    <row r="103" spans="3:17" ht="71.25">
      <c r="C103" s="321" t="s">
        <v>906</v>
      </c>
      <c r="D103" s="322"/>
      <c r="E103" s="783"/>
      <c r="F103" s="325"/>
      <c r="G103" s="319" t="str">
        <f>IFERROR(IF(E103="","",IF(F103="Direct-from-manufacturer",(E103*H103/1000*'Reporting Year &amp; Inflation Adj.'!$F$9),(E103*I103/1000*'Reporting Year &amp; Inflation Adj.'!$F$9))),"")</f>
        <v/>
      </c>
      <c r="H103" s="790">
        <v>5.8711732764999996E-2</v>
      </c>
      <c r="I103" s="793">
        <v>0.10221566179000001</v>
      </c>
      <c r="J103" s="324">
        <v>0.42571200829672784</v>
      </c>
      <c r="K103" s="68">
        <v>511120</v>
      </c>
      <c r="L103" s="68" t="s">
        <v>3510</v>
      </c>
      <c r="M103" s="69" t="s">
        <v>904</v>
      </c>
      <c r="N103" s="69" t="s">
        <v>905</v>
      </c>
      <c r="O103" s="70">
        <v>5.9924941680000003E-2</v>
      </c>
      <c r="P103" s="70">
        <v>4.3694051579999997E-2</v>
      </c>
      <c r="Q103" s="70">
        <v>0.10364235376000001</v>
      </c>
    </row>
    <row r="104" spans="3:17" ht="85.5">
      <c r="C104" s="321" t="s">
        <v>4267</v>
      </c>
      <c r="D104" s="322"/>
      <c r="E104" s="783"/>
      <c r="F104" s="325"/>
      <c r="G104" s="319" t="str">
        <f>IFERROR(IF(E104="","",IF(F104="Direct-from-manufacturer",(E104*H104/1000*'Reporting Year &amp; Inflation Adj.'!$F$9),(E104*I104/1000*'Reporting Year &amp; Inflation Adj.'!$F$9))),"")</f>
        <v/>
      </c>
      <c r="H104" s="790">
        <v>0.1269146635</v>
      </c>
      <c r="I104" s="793">
        <v>0.15909099899999998</v>
      </c>
      <c r="J104" s="324">
        <v>0.19910927003481829</v>
      </c>
      <c r="K104" s="68">
        <v>335220</v>
      </c>
      <c r="L104" s="68" t="s">
        <v>3511</v>
      </c>
      <c r="M104" s="69" t="s">
        <v>440</v>
      </c>
      <c r="N104" s="69" t="s">
        <v>764</v>
      </c>
      <c r="O104" s="70">
        <v>0.13805835342000003</v>
      </c>
      <c r="P104" s="70">
        <v>3.4537123150000001E-2</v>
      </c>
      <c r="Q104" s="70">
        <v>0.17280543186999997</v>
      </c>
    </row>
    <row r="105" spans="3:17" ht="57">
      <c r="C105" s="321" t="s">
        <v>716</v>
      </c>
      <c r="D105" s="322"/>
      <c r="E105" s="783"/>
      <c r="F105" s="325"/>
      <c r="G105" s="319" t="str">
        <f>IFERROR(IF(E105="","",IF(F105="Direct-from-manufacturer",(E105*H105/1000*'Reporting Year &amp; Inflation Adj.'!$F$9),(E105*I105/1000*'Reporting Year &amp; Inflation Adj.'!$F$9))),"")</f>
        <v/>
      </c>
      <c r="H105" s="790">
        <v>0.19902551700000001</v>
      </c>
      <c r="I105" s="793">
        <v>0.21803613956500001</v>
      </c>
      <c r="J105" s="324">
        <v>8.903612359277098E-2</v>
      </c>
      <c r="K105" s="68">
        <v>333920</v>
      </c>
      <c r="L105" s="68" t="s">
        <v>3514</v>
      </c>
      <c r="M105" s="69" t="s">
        <v>440</v>
      </c>
      <c r="N105" s="69" t="s">
        <v>715</v>
      </c>
      <c r="O105" s="70">
        <v>0.23506925406000001</v>
      </c>
      <c r="P105" s="70">
        <v>2.1880161209999999E-2</v>
      </c>
      <c r="Q105" s="70">
        <v>0.25672919133</v>
      </c>
    </row>
    <row r="106" spans="3:17" ht="42.75">
      <c r="C106" s="321" t="s">
        <v>833</v>
      </c>
      <c r="D106" s="322"/>
      <c r="E106" s="783"/>
      <c r="F106" s="325"/>
      <c r="G106" s="319" t="str">
        <f>IFERROR(IF(E106="","",IF(F106="Direct-from-manufacturer",(E106*H106/1000*'Reporting Year &amp; Inflation Adj.'!$F$9),(E106*I106/1000*'Reporting Year &amp; Inflation Adj.'!$F$9))),"")</f>
        <v/>
      </c>
      <c r="H106" s="790">
        <v>0.10098023998</v>
      </c>
      <c r="I106" s="793">
        <v>0.15884243544999999</v>
      </c>
      <c r="J106" s="324">
        <v>0.36628243378523451</v>
      </c>
      <c r="K106" s="68">
        <v>337900</v>
      </c>
      <c r="L106" s="68" t="s">
        <v>3515</v>
      </c>
      <c r="M106" s="69" t="s">
        <v>440</v>
      </c>
      <c r="N106" s="69" t="s">
        <v>835</v>
      </c>
      <c r="O106" s="70">
        <v>0.11213536111999997</v>
      </c>
      <c r="P106" s="70">
        <v>6.3218875420000001E-2</v>
      </c>
      <c r="Q106" s="70">
        <v>0.17517077397999997</v>
      </c>
    </row>
    <row r="107" spans="3:17" ht="71.25">
      <c r="C107" s="321" t="s">
        <v>711</v>
      </c>
      <c r="D107" s="322"/>
      <c r="E107" s="783"/>
      <c r="F107" s="325"/>
      <c r="G107" s="319" t="str">
        <f>IFERROR(IF(E107="","",IF(F107="Direct-from-manufacturer",(E107*H107/1000*'Reporting Year &amp; Inflation Adj.'!$F$9),(E107*I107/1000*'Reporting Year &amp; Inflation Adj.'!$F$9))),"")</f>
        <v/>
      </c>
      <c r="H107" s="790">
        <v>0.15171620014499998</v>
      </c>
      <c r="I107" s="793">
        <v>0.17078110394500004</v>
      </c>
      <c r="J107" s="324">
        <v>0.11090014540542785</v>
      </c>
      <c r="K107" s="68">
        <v>333613</v>
      </c>
      <c r="L107" s="68" t="s">
        <v>3517</v>
      </c>
      <c r="M107" s="69" t="s">
        <v>440</v>
      </c>
      <c r="N107" s="69" t="s">
        <v>709</v>
      </c>
      <c r="O107" s="70">
        <v>0.18769892819999998</v>
      </c>
      <c r="P107" s="70">
        <v>2.211478955E-2</v>
      </c>
      <c r="Q107" s="70">
        <v>0.20954683108000002</v>
      </c>
    </row>
    <row r="108" spans="3:17" ht="57">
      <c r="C108" s="321" t="s">
        <v>563</v>
      </c>
      <c r="D108" s="322"/>
      <c r="E108" s="783"/>
      <c r="F108" s="325"/>
      <c r="G108" s="319" t="str">
        <f>IFERROR(IF(E108="","",IF(F108="Direct-from-manufacturer",(E108*H108/1000*'Reporting Year &amp; Inflation Adj.'!$F$9),(E108*I108/1000*'Reporting Year &amp; Inflation Adj.'!$F$9))),"")</f>
        <v/>
      </c>
      <c r="H108" s="790">
        <v>0.13868467519999997</v>
      </c>
      <c r="I108" s="793">
        <v>0.17272508098999997</v>
      </c>
      <c r="J108" s="324">
        <v>0.19937885735884411</v>
      </c>
      <c r="K108" s="68">
        <v>325411</v>
      </c>
      <c r="L108" s="68" t="s">
        <v>3519</v>
      </c>
      <c r="M108" s="69" t="s">
        <v>440</v>
      </c>
      <c r="N108" s="69" t="s">
        <v>565</v>
      </c>
      <c r="O108" s="70">
        <v>0.15216258832999996</v>
      </c>
      <c r="P108" s="70">
        <v>3.783716116E-2</v>
      </c>
      <c r="Q108" s="70">
        <v>0.19012767231</v>
      </c>
    </row>
    <row r="109" spans="3:17" ht="142.5">
      <c r="C109" s="321" t="s">
        <v>666</v>
      </c>
      <c r="D109" s="322"/>
      <c r="E109" s="783"/>
      <c r="F109" s="325"/>
      <c r="G109" s="319" t="str">
        <f>IFERROR(IF(E109="","",IF(F109="Direct-from-manufacturer",(E109*H109/1000*'Reporting Year &amp; Inflation Adj.'!$F$9),(E109*I109/1000*'Reporting Year &amp; Inflation Adj.'!$F$9))),"")</f>
        <v/>
      </c>
      <c r="H109" s="790">
        <v>0.32779011209999998</v>
      </c>
      <c r="I109" s="793">
        <v>0.341383834035</v>
      </c>
      <c r="J109" s="324">
        <v>4.2143192937557167E-2</v>
      </c>
      <c r="K109" s="68">
        <v>332800</v>
      </c>
      <c r="L109" s="68" t="s">
        <v>3520</v>
      </c>
      <c r="M109" s="69" t="s">
        <v>440</v>
      </c>
      <c r="N109" s="69" t="s">
        <v>668</v>
      </c>
      <c r="O109" s="70">
        <v>0.36949350787999996</v>
      </c>
      <c r="P109" s="70">
        <v>1.5065600589399999E-2</v>
      </c>
      <c r="Q109" s="70">
        <v>0.38448567083999996</v>
      </c>
    </row>
    <row r="110" spans="3:17" ht="57">
      <c r="C110" s="321" t="s">
        <v>706</v>
      </c>
      <c r="D110" s="322"/>
      <c r="E110" s="783"/>
      <c r="F110" s="325"/>
      <c r="G110" s="319" t="str">
        <f>IFERROR(IF(E110="","",IF(F110="Direct-from-manufacturer",(E110*H110/1000*'Reporting Year &amp; Inflation Adj.'!$F$9),(E110*I110/1000*'Reporting Year &amp; Inflation Adj.'!$F$9))),"")</f>
        <v/>
      </c>
      <c r="H110" s="790">
        <v>0.15757936383999999</v>
      </c>
      <c r="I110" s="793">
        <v>0.178879735895</v>
      </c>
      <c r="J110" s="324">
        <v>0.11970622646474138</v>
      </c>
      <c r="K110" s="68">
        <v>333517</v>
      </c>
      <c r="L110" s="68" t="s">
        <v>3521</v>
      </c>
      <c r="M110" s="69" t="s">
        <v>440</v>
      </c>
      <c r="N110" s="69" t="s">
        <v>702</v>
      </c>
      <c r="O110" s="70">
        <v>0.17665353891000002</v>
      </c>
      <c r="P110" s="70">
        <v>2.3260007570000001E-2</v>
      </c>
      <c r="Q110" s="70">
        <v>0.20048473758999999</v>
      </c>
    </row>
    <row r="111" spans="3:17" ht="30">
      <c r="C111" s="321" t="s">
        <v>656</v>
      </c>
      <c r="D111" s="322"/>
      <c r="E111" s="783"/>
      <c r="F111" s="325"/>
      <c r="G111" s="319" t="str">
        <f>IFERROR(IF(E111="","",IF(F111="Direct-from-manufacturer",(E111*H111/1000*'Reporting Year &amp; Inflation Adj.'!$F$9),(E111*I111/1000*'Reporting Year &amp; Inflation Adj.'!$F$9))),"")</f>
        <v/>
      </c>
      <c r="H111" s="790">
        <v>0.14821991852000005</v>
      </c>
      <c r="I111" s="793">
        <v>0.17948298181000003</v>
      </c>
      <c r="J111" s="324">
        <v>0.17752684498929316</v>
      </c>
      <c r="K111" s="68">
        <v>332500</v>
      </c>
      <c r="L111" s="68" t="s">
        <v>3522</v>
      </c>
      <c r="M111" s="69" t="s">
        <v>440</v>
      </c>
      <c r="N111" s="69" t="s">
        <v>658</v>
      </c>
      <c r="O111" s="70">
        <v>0.15773793158999996</v>
      </c>
      <c r="P111" s="70">
        <v>3.3986597080000007E-2</v>
      </c>
      <c r="Q111" s="70">
        <v>0.19153918420999999</v>
      </c>
    </row>
    <row r="112" spans="3:17" ht="57">
      <c r="C112" s="321" t="s">
        <v>672</v>
      </c>
      <c r="D112" s="322"/>
      <c r="E112" s="783"/>
      <c r="F112" s="325"/>
      <c r="G112" s="319" t="str">
        <f>IFERROR(IF(E112="","",IF(F112="Direct-from-manufacturer",(E112*H112/1000*'Reporting Year &amp; Inflation Adj.'!$F$9),(E112*I112/1000*'Reporting Year &amp; Inflation Adj.'!$F$9))),"")</f>
        <v/>
      </c>
      <c r="H112" s="790">
        <v>0.116810439445</v>
      </c>
      <c r="I112" s="793">
        <v>0.15741745796499998</v>
      </c>
      <c r="J112" s="324">
        <v>0.25982077114403496</v>
      </c>
      <c r="K112" s="68">
        <v>332913</v>
      </c>
      <c r="L112" s="68" t="s">
        <v>3523</v>
      </c>
      <c r="M112" s="69" t="s">
        <v>440</v>
      </c>
      <c r="N112" s="69" t="s">
        <v>671</v>
      </c>
      <c r="O112" s="70">
        <v>0.12694159949999997</v>
      </c>
      <c r="P112" s="70">
        <v>4.5281268800000003E-2</v>
      </c>
      <c r="Q112" s="70">
        <v>0.17242699350000004</v>
      </c>
    </row>
    <row r="113" spans="3:17" ht="42.75">
      <c r="C113" s="321" t="s">
        <v>647</v>
      </c>
      <c r="D113" s="322"/>
      <c r="E113" s="783"/>
      <c r="F113" s="325"/>
      <c r="G113" s="319" t="str">
        <f>IFERROR(IF(E113="","",IF(F113="Direct-from-manufacturer",(E113*H113/1000*'Reporting Year &amp; Inflation Adj.'!$F$9),(E113*I113/1000*'Reporting Year &amp; Inflation Adj.'!$F$9))),"")</f>
        <v/>
      </c>
      <c r="H113" s="790">
        <v>0.234686801295</v>
      </c>
      <c r="I113" s="793">
        <v>0.25128445093000001</v>
      </c>
      <c r="J113" s="324">
        <v>6.755521613921453E-2</v>
      </c>
      <c r="K113" s="68">
        <v>332310</v>
      </c>
      <c r="L113" s="68" t="s">
        <v>3524</v>
      </c>
      <c r="M113" s="69" t="s">
        <v>440</v>
      </c>
      <c r="N113" s="69" t="s">
        <v>649</v>
      </c>
      <c r="O113" s="70">
        <v>0.24614917736999997</v>
      </c>
      <c r="P113" s="70">
        <v>1.6864152746999997E-2</v>
      </c>
      <c r="Q113" s="70">
        <v>0.26390643343000003</v>
      </c>
    </row>
    <row r="114" spans="3:17" ht="57">
      <c r="C114" s="321" t="s">
        <v>650</v>
      </c>
      <c r="D114" s="322"/>
      <c r="E114" s="783"/>
      <c r="F114" s="325"/>
      <c r="G114" s="319" t="str">
        <f>IFERROR(IF(E114="","",IF(F114="Direct-from-manufacturer",(E114*H114/1000*'Reporting Year &amp; Inflation Adj.'!$F$9),(E114*I114/1000*'Reporting Year &amp; Inflation Adj.'!$F$9))),"")</f>
        <v/>
      </c>
      <c r="H114" s="790">
        <v>0.17751361817500003</v>
      </c>
      <c r="I114" s="793">
        <v>0.20217152897500001</v>
      </c>
      <c r="J114" s="324">
        <v>0.12047551951794304</v>
      </c>
      <c r="K114" s="68">
        <v>332320</v>
      </c>
      <c r="L114" s="68" t="s">
        <v>3525</v>
      </c>
      <c r="M114" s="69" t="s">
        <v>440</v>
      </c>
      <c r="N114" s="69" t="s">
        <v>649</v>
      </c>
      <c r="O114" s="70">
        <v>0.19616578158000009</v>
      </c>
      <c r="P114" s="70">
        <v>2.6084086909999998E-2</v>
      </c>
      <c r="Q114" s="70">
        <v>0.22224129030000003</v>
      </c>
    </row>
    <row r="115" spans="3:17" ht="57">
      <c r="C115" s="321" t="s">
        <v>818</v>
      </c>
      <c r="D115" s="322"/>
      <c r="E115" s="783"/>
      <c r="F115" s="325"/>
      <c r="G115" s="319" t="str">
        <f>IFERROR(IF(E115="","",IF(F115="Direct-from-manufacturer",(E115*H115/1000*'Reporting Year &amp; Inflation Adj.'!$F$9),(E115*I115/1000*'Reporting Year &amp; Inflation Adj.'!$F$9))),"")</f>
        <v/>
      </c>
      <c r="H115" s="790">
        <v>0.42878578600500006</v>
      </c>
      <c r="I115" s="793">
        <v>0.43956281938500008</v>
      </c>
      <c r="J115" s="324">
        <v>2.6268261320770894E-2</v>
      </c>
      <c r="K115" s="68">
        <v>336992</v>
      </c>
      <c r="L115" s="68" t="s">
        <v>3526</v>
      </c>
      <c r="M115" s="69" t="s">
        <v>440</v>
      </c>
      <c r="N115" s="69" t="s">
        <v>817</v>
      </c>
      <c r="O115" s="70">
        <v>0.43472835452000003</v>
      </c>
      <c r="P115" s="70">
        <v>1.1999933338E-2</v>
      </c>
      <c r="Q115" s="70">
        <v>0.44669559297</v>
      </c>
    </row>
    <row r="116" spans="3:17" ht="57">
      <c r="C116" s="321" t="s">
        <v>616</v>
      </c>
      <c r="D116" s="322"/>
      <c r="E116" s="783"/>
      <c r="F116" s="325"/>
      <c r="G116" s="319" t="str">
        <f>IFERROR(IF(E116="","",IF(F116="Direct-from-manufacturer",(E116*H116/1000*'Reporting Year &amp; Inflation Adj.'!$F$9),(E116*I116/1000*'Reporting Year &amp; Inflation Adj.'!$F$9))),"")</f>
        <v/>
      </c>
      <c r="H116" s="790">
        <v>0.2892536637</v>
      </c>
      <c r="I116" s="793">
        <v>0.33727425186999999</v>
      </c>
      <c r="J116" s="324">
        <v>0.14291397491136923</v>
      </c>
      <c r="K116" s="68">
        <v>327993</v>
      </c>
      <c r="L116" s="68" t="s">
        <v>3527</v>
      </c>
      <c r="M116" s="69" t="s">
        <v>440</v>
      </c>
      <c r="N116" s="69" t="s">
        <v>613</v>
      </c>
      <c r="O116" s="70">
        <v>0.34039864989999996</v>
      </c>
      <c r="P116" s="70">
        <v>5.3911321839999998E-2</v>
      </c>
      <c r="Q116" s="70">
        <v>0.39510705652999994</v>
      </c>
    </row>
    <row r="117" spans="3:17" ht="57">
      <c r="C117" s="321" t="s">
        <v>684</v>
      </c>
      <c r="D117" s="322"/>
      <c r="E117" s="783"/>
      <c r="F117" s="325"/>
      <c r="G117" s="319" t="str">
        <f>IFERROR(IF(E117="","",IF(F117="Direct-from-manufacturer",(E117*H117/1000*'Reporting Year &amp; Inflation Adj.'!$F$9),(E117*I117/1000*'Reporting Year &amp; Inflation Adj.'!$F$9))),"")</f>
        <v/>
      </c>
      <c r="H117" s="790">
        <v>0.13554474814</v>
      </c>
      <c r="I117" s="793">
        <v>0.17076177072000001</v>
      </c>
      <c r="J117" s="324">
        <v>0.2050057541122691</v>
      </c>
      <c r="K117" s="68">
        <v>333130</v>
      </c>
      <c r="L117" s="68" t="s">
        <v>3528</v>
      </c>
      <c r="M117" s="69" t="s">
        <v>440</v>
      </c>
      <c r="N117" s="69" t="s">
        <v>681</v>
      </c>
      <c r="O117" s="70">
        <v>0.17547986597999998</v>
      </c>
      <c r="P117" s="70">
        <v>4.4666078129999988E-2</v>
      </c>
      <c r="Q117" s="70">
        <v>0.22076315070000005</v>
      </c>
    </row>
    <row r="118" spans="3:17" ht="71.25">
      <c r="C118" s="321" t="s">
        <v>678</v>
      </c>
      <c r="D118" s="322"/>
      <c r="E118" s="783"/>
      <c r="F118" s="325"/>
      <c r="G118" s="319" t="str">
        <f>IFERROR(IF(E118="","",IF(F118="Direct-from-manufacturer",(E118*H118/1000*'Reporting Year &amp; Inflation Adj.'!$F$9),(E118*I118/1000*'Reporting Year &amp; Inflation Adj.'!$F$9))),"")</f>
        <v/>
      </c>
      <c r="H118" s="790">
        <v>0.23163836678500002</v>
      </c>
      <c r="I118" s="793">
        <v>0.25530224662500001</v>
      </c>
      <c r="J118" s="324">
        <v>9.0322699348866317E-2</v>
      </c>
      <c r="K118" s="68">
        <v>332999</v>
      </c>
      <c r="L118" s="68" t="s">
        <v>3529</v>
      </c>
      <c r="M118" s="69" t="s">
        <v>440</v>
      </c>
      <c r="N118" s="69" t="s">
        <v>671</v>
      </c>
      <c r="O118" s="70">
        <v>0.24895806993</v>
      </c>
      <c r="P118" s="70">
        <v>2.4344083249999999E-2</v>
      </c>
      <c r="Q118" s="70">
        <v>0.27399856318000004</v>
      </c>
    </row>
    <row r="119" spans="3:17" ht="57">
      <c r="C119" s="321" t="s">
        <v>788</v>
      </c>
      <c r="D119" s="322"/>
      <c r="E119" s="783"/>
      <c r="F119" s="325"/>
      <c r="G119" s="319" t="str">
        <f>IFERROR(IF(E119="","",IF(F119="Direct-from-manufacturer",(E119*H119/1000*'Reporting Year &amp; Inflation Adj.'!$F$9),(E119*I119/1000*'Reporting Year &amp; Inflation Adj.'!$F$9))),"")</f>
        <v/>
      </c>
      <c r="H119" s="790">
        <v>5.1609785270000007E-2</v>
      </c>
      <c r="I119" s="793">
        <v>0.10056514502</v>
      </c>
      <c r="J119" s="324">
        <v>0.48685389212398505</v>
      </c>
      <c r="K119" s="68">
        <v>336213</v>
      </c>
      <c r="L119" s="68" t="s">
        <v>3531</v>
      </c>
      <c r="M119" s="69" t="s">
        <v>440</v>
      </c>
      <c r="N119" s="69" t="s">
        <v>786</v>
      </c>
      <c r="O119" s="70">
        <v>5.5455154110000002E-2</v>
      </c>
      <c r="P119" s="70">
        <v>5.2085737991000004E-2</v>
      </c>
      <c r="Q119" s="70">
        <v>0.10754835843</v>
      </c>
    </row>
    <row r="120" spans="3:17" ht="114">
      <c r="C120" s="321" t="s">
        <v>794</v>
      </c>
      <c r="D120" s="322"/>
      <c r="E120" s="783"/>
      <c r="F120" s="325"/>
      <c r="G120" s="319" t="str">
        <f>IFERROR(IF(E120="","",IF(F120="Direct-from-manufacturer",(E120*H120/1000*'Reporting Year &amp; Inflation Adj.'!$F$9),(E120*I120/1000*'Reporting Year &amp; Inflation Adj.'!$F$9))),"")</f>
        <v/>
      </c>
      <c r="H120" s="790">
        <v>0.23763090855000002</v>
      </c>
      <c r="I120" s="793">
        <v>0.26481318108999996</v>
      </c>
      <c r="J120" s="324">
        <v>9.9684432196101319E-2</v>
      </c>
      <c r="K120" s="68" t="s">
        <v>795</v>
      </c>
      <c r="L120" s="68" t="s">
        <v>3533</v>
      </c>
      <c r="M120" s="69" t="s">
        <v>440</v>
      </c>
      <c r="N120" s="69" t="s">
        <v>792</v>
      </c>
      <c r="O120" s="70">
        <v>0.25139128535999999</v>
      </c>
      <c r="P120" s="70">
        <v>2.7809369100000002E-2</v>
      </c>
      <c r="Q120" s="70">
        <v>0.27993925558999988</v>
      </c>
    </row>
    <row r="121" spans="3:17" ht="57">
      <c r="C121" s="321" t="s">
        <v>815</v>
      </c>
      <c r="D121" s="322"/>
      <c r="E121" s="783"/>
      <c r="F121" s="325"/>
      <c r="G121" s="319" t="str">
        <f>IFERROR(IF(E121="","",IF(F121="Direct-from-manufacturer",(E121*H121/1000*'Reporting Year &amp; Inflation Adj.'!$F$9),(E121*I121/1000*'Reporting Year &amp; Inflation Adj.'!$F$9))),"")</f>
        <v/>
      </c>
      <c r="H121" s="790">
        <v>0.18786293635999995</v>
      </c>
      <c r="I121" s="793">
        <v>0.22818258487000001</v>
      </c>
      <c r="J121" s="324">
        <v>0.17666775855382125</v>
      </c>
      <c r="K121" s="68">
        <v>336991</v>
      </c>
      <c r="L121" s="68" t="s">
        <v>3534</v>
      </c>
      <c r="M121" s="69" t="s">
        <v>440</v>
      </c>
      <c r="N121" s="69" t="s">
        <v>817</v>
      </c>
      <c r="O121" s="70">
        <v>0.17845712620000001</v>
      </c>
      <c r="P121" s="70">
        <v>4.4248408779999998E-2</v>
      </c>
      <c r="Q121" s="70">
        <v>0.22240127508000002</v>
      </c>
    </row>
    <row r="122" spans="3:17" ht="57">
      <c r="C122" s="321" t="s">
        <v>768</v>
      </c>
      <c r="D122" s="322"/>
      <c r="E122" s="783"/>
      <c r="F122" s="325"/>
      <c r="G122" s="319" t="str">
        <f>IFERROR(IF(E122="","",IF(F122="Direct-from-manufacturer",(E122*H122/1000*'Reporting Year &amp; Inflation Adj.'!$F$9),(E122*I122/1000*'Reporting Year &amp; Inflation Adj.'!$F$9))),"")</f>
        <v/>
      </c>
      <c r="H122" s="790">
        <v>0.11248662950499999</v>
      </c>
      <c r="I122" s="793">
        <v>0.12934799046500001</v>
      </c>
      <c r="J122" s="324">
        <v>0.1265831432026028</v>
      </c>
      <c r="K122" s="68">
        <v>335312</v>
      </c>
      <c r="L122" s="68" t="s">
        <v>3535</v>
      </c>
      <c r="M122" s="69" t="s">
        <v>440</v>
      </c>
      <c r="N122" s="69" t="s">
        <v>767</v>
      </c>
      <c r="O122" s="70">
        <v>0.13415954056999999</v>
      </c>
      <c r="P122" s="70">
        <v>1.9417250790000003E-2</v>
      </c>
      <c r="Q122" s="70">
        <v>0.15369115055999999</v>
      </c>
    </row>
    <row r="123" spans="3:17" ht="71.25">
      <c r="C123" s="321" t="s">
        <v>913</v>
      </c>
      <c r="D123" s="322"/>
      <c r="E123" s="783"/>
      <c r="F123" s="325"/>
      <c r="G123" s="319" t="str">
        <f>IFERROR(IF(E123="","",IF(F123="Direct-from-manufacturer",(E123*H123/1000*'Reporting Year &amp; Inflation Adj.'!$F$9),(E123*I123/1000*'Reporting Year &amp; Inflation Adj.'!$F$9))),"")</f>
        <v/>
      </c>
      <c r="H123" s="790">
        <v>4.4156467234999996E-2</v>
      </c>
      <c r="I123" s="793">
        <v>4.9020536115000006E-2</v>
      </c>
      <c r="J123" s="324">
        <v>9.8462373925834401E-2</v>
      </c>
      <c r="K123" s="68">
        <v>512100</v>
      </c>
      <c r="L123" s="68" t="s">
        <v>3536</v>
      </c>
      <c r="M123" s="69" t="s">
        <v>904</v>
      </c>
      <c r="N123" s="69" t="s">
        <v>915</v>
      </c>
      <c r="O123" s="70">
        <v>4.6954067701000003E-2</v>
      </c>
      <c r="P123" s="70">
        <v>5.103385412999999E-3</v>
      </c>
      <c r="Q123" s="70">
        <v>5.2086446556000011E-2</v>
      </c>
    </row>
    <row r="124" spans="3:17" ht="71.25">
      <c r="C124" s="321" t="s">
        <v>746</v>
      </c>
      <c r="D124" s="322"/>
      <c r="E124" s="783"/>
      <c r="F124" s="325"/>
      <c r="G124" s="319" t="str">
        <f>IFERROR(IF(E124="","",IF(F124="Direct-from-manufacturer",(E124*H124/1000*'Reporting Year &amp; Inflation Adj.'!$F$9),(E124*I124/1000*'Reporting Year &amp; Inflation Adj.'!$F$9))),"")</f>
        <v/>
      </c>
      <c r="H124" s="790">
        <v>4.6855302889999999E-2</v>
      </c>
      <c r="I124" s="793">
        <v>6.3714119429999994E-2</v>
      </c>
      <c r="J124" s="324">
        <v>0.26609459083283143</v>
      </c>
      <c r="K124" s="68">
        <v>334511</v>
      </c>
      <c r="L124" s="68" t="s">
        <v>3540</v>
      </c>
      <c r="M124" s="69" t="s">
        <v>440</v>
      </c>
      <c r="N124" s="69" t="s">
        <v>745</v>
      </c>
      <c r="O124" s="70">
        <v>5.1906277309999992E-2</v>
      </c>
      <c r="P124" s="70">
        <v>1.9225807470000002E-2</v>
      </c>
      <c r="Q124" s="70">
        <v>7.1224082559999999E-2</v>
      </c>
    </row>
    <row r="125" spans="3:17" ht="57">
      <c r="C125" s="321" t="s">
        <v>902</v>
      </c>
      <c r="D125" s="322"/>
      <c r="E125" s="783"/>
      <c r="F125" s="325"/>
      <c r="G125" s="319" t="str">
        <f>IFERROR(IF(E125="","",IF(F125="Direct-from-manufacturer",(E125*H125/1000*'Reporting Year &amp; Inflation Adj.'!$F$9),(E125*I125/1000*'Reporting Year &amp; Inflation Adj.'!$F$9))),"")</f>
        <v/>
      </c>
      <c r="H125" s="790">
        <v>3.9811975144999998E-2</v>
      </c>
      <c r="I125" s="793">
        <v>7.7439795200000022E-2</v>
      </c>
      <c r="J125" s="324">
        <v>0.48592602624806525</v>
      </c>
      <c r="K125" s="68">
        <v>511110</v>
      </c>
      <c r="L125" s="68" t="s">
        <v>3543</v>
      </c>
      <c r="M125" s="69" t="s">
        <v>904</v>
      </c>
      <c r="N125" s="69" t="s">
        <v>905</v>
      </c>
      <c r="O125" s="70">
        <v>4.3100165610999996E-2</v>
      </c>
      <c r="P125" s="70">
        <v>3.9805882729999999E-2</v>
      </c>
      <c r="Q125" s="70">
        <v>8.2877987159999986E-2</v>
      </c>
    </row>
    <row r="126" spans="3:17" ht="42.75">
      <c r="C126" s="321" t="s">
        <v>637</v>
      </c>
      <c r="D126" s="322"/>
      <c r="E126" s="783"/>
      <c r="F126" s="325"/>
      <c r="G126" s="319" t="str">
        <f>IFERROR(IF(E126="","",IF(F126="Direct-from-manufacturer",(E126*H126/1000*'Reporting Year &amp; Inflation Adj.'!$F$9),(E126*I126/1000*'Reporting Year &amp; Inflation Adj.'!$F$9))),"")</f>
        <v/>
      </c>
      <c r="H126" s="790">
        <v>0.43761331102500001</v>
      </c>
      <c r="I126" s="793">
        <v>0.46211206097000002</v>
      </c>
      <c r="J126" s="324">
        <v>5.325692524306936E-2</v>
      </c>
      <c r="K126" s="68">
        <v>331520</v>
      </c>
      <c r="L126" s="68" t="s">
        <v>3545</v>
      </c>
      <c r="M126" s="69" t="s">
        <v>440</v>
      </c>
      <c r="N126" s="69" t="s">
        <v>636</v>
      </c>
      <c r="O126" s="70">
        <v>0.44063181472999996</v>
      </c>
      <c r="P126" s="70">
        <v>2.482392315E-2</v>
      </c>
      <c r="Q126" s="70">
        <v>0.46558988129999995</v>
      </c>
    </row>
    <row r="127" spans="3:17" ht="45">
      <c r="C127" s="321" t="s">
        <v>828</v>
      </c>
      <c r="D127" s="322"/>
      <c r="E127" s="783"/>
      <c r="F127" s="325"/>
      <c r="G127" s="319" t="str">
        <f>IFERROR(IF(E127="","",IF(F127="Direct-from-manufacturer",(E127*H127/1000*'Reporting Year &amp; Inflation Adj.'!$F$9),(E127*I127/1000*'Reporting Year &amp; Inflation Adj.'!$F$9))),"")</f>
        <v/>
      </c>
      <c r="H127" s="790">
        <v>0.15714181503999999</v>
      </c>
      <c r="I127" s="793">
        <v>0.20883908921999997</v>
      </c>
      <c r="J127" s="324">
        <v>0.24834302655555315</v>
      </c>
      <c r="K127" s="68" t="s">
        <v>829</v>
      </c>
      <c r="L127" s="68" t="s">
        <v>3548</v>
      </c>
      <c r="M127" s="69" t="s">
        <v>440</v>
      </c>
      <c r="N127" s="69" t="s">
        <v>830</v>
      </c>
      <c r="O127" s="70">
        <v>0.18425269961000001</v>
      </c>
      <c r="P127" s="70">
        <v>5.6988688410000009E-2</v>
      </c>
      <c r="Q127" s="70">
        <v>0.24150189271999997</v>
      </c>
    </row>
    <row r="128" spans="3:17" ht="42.75">
      <c r="C128" s="321" t="s">
        <v>848</v>
      </c>
      <c r="D128" s="322"/>
      <c r="E128" s="783"/>
      <c r="F128" s="325"/>
      <c r="G128" s="319" t="str">
        <f>IFERROR(IF(E128="","",IF(F128="Direct-from-manufacturer",(E128*H128/1000*'Reporting Year &amp; Inflation Adj.'!$F$9),(E128*I128/1000*'Reporting Year &amp; Inflation Adj.'!$F$9))),"")</f>
        <v/>
      </c>
      <c r="H128" s="790">
        <v>0.17970703505999999</v>
      </c>
      <c r="I128" s="793">
        <v>0.23638118847999998</v>
      </c>
      <c r="J128" s="324">
        <v>0.24264436609283274</v>
      </c>
      <c r="K128" s="68">
        <v>339940</v>
      </c>
      <c r="L128" s="68" t="s">
        <v>3549</v>
      </c>
      <c r="M128" s="69" t="s">
        <v>440</v>
      </c>
      <c r="N128" s="69" t="s">
        <v>845</v>
      </c>
      <c r="O128" s="70">
        <v>0.20534862478999999</v>
      </c>
      <c r="P128" s="70">
        <v>6.1414922740000003E-2</v>
      </c>
      <c r="Q128" s="70">
        <v>0.26623699469000001</v>
      </c>
    </row>
    <row r="129" spans="3:17" ht="57">
      <c r="C129" s="321" t="s">
        <v>841</v>
      </c>
      <c r="D129" s="322"/>
      <c r="E129" s="783"/>
      <c r="F129" s="325"/>
      <c r="G129" s="319" t="str">
        <f>IFERROR(IF(E129="","",IF(F129="Direct-from-manufacturer",(E129*H129/1000*'Reporting Year &amp; Inflation Adj.'!$F$9),(E129*I129/1000*'Reporting Year &amp; Inflation Adj.'!$F$9))),"")</f>
        <v/>
      </c>
      <c r="H129" s="790">
        <v>7.0368737760000022E-2</v>
      </c>
      <c r="I129" s="793">
        <v>0.114795582605</v>
      </c>
      <c r="J129" s="324">
        <v>0.38961114539482233</v>
      </c>
      <c r="K129" s="68">
        <v>339115</v>
      </c>
      <c r="L129" s="68" t="s">
        <v>3550</v>
      </c>
      <c r="M129" s="69" t="s">
        <v>440</v>
      </c>
      <c r="N129" s="69" t="s">
        <v>838</v>
      </c>
      <c r="O129" s="70">
        <v>8.6701114270000018E-2</v>
      </c>
      <c r="P129" s="70">
        <v>5.2742876000000001E-2</v>
      </c>
      <c r="Q129" s="70">
        <v>0.13983641998999993</v>
      </c>
    </row>
    <row r="130" spans="3:17" ht="71.25">
      <c r="C130" s="321" t="s">
        <v>690</v>
      </c>
      <c r="D130" s="322"/>
      <c r="E130" s="783"/>
      <c r="F130" s="325"/>
      <c r="G130" s="319" t="str">
        <f>IFERROR(IF(E130="","",IF(F130="Direct-from-manufacturer",(E130*H130/1000*'Reporting Year &amp; Inflation Adj.'!$F$9),(E130*I130/1000*'Reporting Year &amp; Inflation Adj.'!$F$9))),"")</f>
        <v/>
      </c>
      <c r="H130" s="790">
        <v>0.13614398077500001</v>
      </c>
      <c r="I130" s="793">
        <v>0.15759475889999999</v>
      </c>
      <c r="J130" s="324">
        <v>0.13476310308946449</v>
      </c>
      <c r="K130" s="68">
        <v>333314</v>
      </c>
      <c r="L130" s="68" t="s">
        <v>3551</v>
      </c>
      <c r="M130" s="69" t="s">
        <v>440</v>
      </c>
      <c r="N130" s="69" t="s">
        <v>692</v>
      </c>
      <c r="O130" s="70">
        <v>0.15302631149999998</v>
      </c>
      <c r="P130" s="70">
        <v>2.3329212679999999E-2</v>
      </c>
      <c r="Q130" s="70">
        <v>0.17602944428999998</v>
      </c>
    </row>
    <row r="131" spans="3:17" ht="71.25">
      <c r="C131" s="321" t="s">
        <v>804</v>
      </c>
      <c r="D131" s="322"/>
      <c r="E131" s="783"/>
      <c r="F131" s="325"/>
      <c r="G131" s="319" t="str">
        <f>IFERROR(IF(E131="","",IF(F131="Direct-from-manufacturer",(E131*H131/1000*'Reporting Year &amp; Inflation Adj.'!$F$9),(E131*I131/1000*'Reporting Year &amp; Inflation Adj.'!$F$9))),"")</f>
        <v/>
      </c>
      <c r="H131" s="790">
        <v>0.14570594591500002</v>
      </c>
      <c r="I131" s="793">
        <v>0.151602669685</v>
      </c>
      <c r="J131" s="324">
        <v>4.1405671091035441E-2</v>
      </c>
      <c r="K131" s="68">
        <v>336413</v>
      </c>
      <c r="L131" s="68" t="s">
        <v>3552</v>
      </c>
      <c r="M131" s="69" t="s">
        <v>440</v>
      </c>
      <c r="N131" s="69" t="s">
        <v>802</v>
      </c>
      <c r="O131" s="70">
        <v>0.16476222017999997</v>
      </c>
      <c r="P131" s="70">
        <v>6.5820633429999999E-3</v>
      </c>
      <c r="Q131" s="70">
        <v>0.17078959882</v>
      </c>
    </row>
    <row r="132" spans="3:17" ht="28.5">
      <c r="C132" s="321" t="s">
        <v>442</v>
      </c>
      <c r="D132" s="322"/>
      <c r="E132" s="783"/>
      <c r="F132" s="325"/>
      <c r="G132" s="319" t="str">
        <f>IFERROR(IF(E132="","",IF(F132="Direct-from-manufacturer",(E132*H132/1000*'Reporting Year &amp; Inflation Adj.'!$F$9),(E132*I132/1000*'Reporting Year &amp; Inflation Adj.'!$F$9))),"")</f>
        <v/>
      </c>
      <c r="H132" s="790">
        <v>0.47672803205000003</v>
      </c>
      <c r="I132" s="793">
        <v>0.51421365533999996</v>
      </c>
      <c r="J132" s="324">
        <v>7.2203391468573228E-2</v>
      </c>
      <c r="K132" s="68">
        <v>311119</v>
      </c>
      <c r="L132" s="68" t="s">
        <v>3553</v>
      </c>
      <c r="M132" s="69" t="s">
        <v>440</v>
      </c>
      <c r="N132" s="69" t="s">
        <v>441</v>
      </c>
      <c r="O132" s="70">
        <v>0.43753139026000004</v>
      </c>
      <c r="P132" s="70">
        <v>3.1722873290000002E-2</v>
      </c>
      <c r="Q132" s="70">
        <v>0.46927851737000004</v>
      </c>
    </row>
    <row r="133" spans="3:17" ht="28.5">
      <c r="C133" s="321" t="s">
        <v>553</v>
      </c>
      <c r="D133" s="322"/>
      <c r="E133" s="783"/>
      <c r="F133" s="325"/>
      <c r="G133" s="319" t="str">
        <f>IFERROR(IF(E133="","",IF(F133="Direct-from-manufacturer",(E133*H133/1000*'Reporting Year &amp; Inflation Adj.'!$F$9),(E133*I133/1000*'Reporting Year &amp; Inflation Adj.'!$F$9))),"")</f>
        <v/>
      </c>
      <c r="H133" s="790">
        <v>0.94485798065999993</v>
      </c>
      <c r="I133" s="793">
        <v>0.98596857163000007</v>
      </c>
      <c r="J133" s="324">
        <v>4.1233281972456529E-2</v>
      </c>
      <c r="K133" s="68">
        <v>325180</v>
      </c>
      <c r="L133" s="68" t="s">
        <v>3554</v>
      </c>
      <c r="M133" s="69" t="s">
        <v>440</v>
      </c>
      <c r="N133" s="69" t="s">
        <v>550</v>
      </c>
      <c r="O133" s="70">
        <v>0.97585376801000001</v>
      </c>
      <c r="P133" s="70">
        <v>3.6625184010999998E-2</v>
      </c>
      <c r="Q133" s="70">
        <v>1.0130743526499999</v>
      </c>
    </row>
    <row r="134" spans="3:17" ht="28.5">
      <c r="C134" s="321" t="s">
        <v>554</v>
      </c>
      <c r="D134" s="322"/>
      <c r="E134" s="783"/>
      <c r="F134" s="325"/>
      <c r="G134" s="319" t="str">
        <f>IFERROR(IF(E134="","",IF(F134="Direct-from-manufacturer",(E134*H134/1000*'Reporting Year &amp; Inflation Adj.'!$F$9),(E134*I134/1000*'Reporting Year &amp; Inflation Adj.'!$F$9))),"")</f>
        <v/>
      </c>
      <c r="H134" s="790">
        <v>1.26705593108</v>
      </c>
      <c r="I134" s="793">
        <v>1.29012241396</v>
      </c>
      <c r="J134" s="324">
        <v>1.7705535139790403E-2</v>
      </c>
      <c r="K134" s="68">
        <v>325190</v>
      </c>
      <c r="L134" s="68" t="s">
        <v>3555</v>
      </c>
      <c r="M134" s="69" t="s">
        <v>440</v>
      </c>
      <c r="N134" s="69" t="s">
        <v>550</v>
      </c>
      <c r="O134" s="70">
        <v>1.1750465754999997</v>
      </c>
      <c r="P134" s="70">
        <v>1.8629732005999999E-2</v>
      </c>
      <c r="Q134" s="70">
        <v>1.1939033807799999</v>
      </c>
    </row>
    <row r="135" spans="3:17" ht="57">
      <c r="C135" s="321" t="s">
        <v>694</v>
      </c>
      <c r="D135" s="322"/>
      <c r="E135" s="783"/>
      <c r="F135" s="325"/>
      <c r="G135" s="319" t="str">
        <f>IFERROR(IF(E135="","",IF(F135="Direct-from-manufacturer",(E135*H135/1000*'Reporting Year &amp; Inflation Adj.'!$F$9),(E135*I135/1000*'Reporting Year &amp; Inflation Adj.'!$F$9))),"")</f>
        <v/>
      </c>
      <c r="H135" s="790">
        <v>0.15517251534999998</v>
      </c>
      <c r="I135" s="793">
        <v>0.18622971804999999</v>
      </c>
      <c r="J135" s="324">
        <v>0.16568836852728078</v>
      </c>
      <c r="K135" s="68">
        <v>333318</v>
      </c>
      <c r="L135" s="68" t="s">
        <v>3556</v>
      </c>
      <c r="M135" s="69" t="s">
        <v>440</v>
      </c>
      <c r="N135" s="69" t="s">
        <v>692</v>
      </c>
      <c r="O135" s="70">
        <v>0.17250188114000001</v>
      </c>
      <c r="P135" s="70">
        <v>3.4206105340000001E-2</v>
      </c>
      <c r="Q135" s="70">
        <v>0.20637127433999997</v>
      </c>
    </row>
    <row r="136" spans="3:17" ht="42.75">
      <c r="C136" s="321" t="s">
        <v>607</v>
      </c>
      <c r="D136" s="322"/>
      <c r="E136" s="783"/>
      <c r="F136" s="325"/>
      <c r="G136" s="319" t="str">
        <f>IFERROR(IF(E136="","",IF(F136="Direct-from-manufacturer",(E136*H136/1000*'Reporting Year &amp; Inflation Adj.'!$F$9),(E136*I136/1000*'Reporting Year &amp; Inflation Adj.'!$F$9))),"")</f>
        <v/>
      </c>
      <c r="H136" s="790">
        <v>0.20925042366500002</v>
      </c>
      <c r="I136" s="793">
        <v>0.25486537509000001</v>
      </c>
      <c r="J136" s="324">
        <v>0.17626111294692931</v>
      </c>
      <c r="K136" s="68">
        <v>327390</v>
      </c>
      <c r="L136" s="68" t="s">
        <v>3558</v>
      </c>
      <c r="M136" s="69" t="s">
        <v>440</v>
      </c>
      <c r="N136" s="69" t="s">
        <v>604</v>
      </c>
      <c r="O136" s="70">
        <v>0.26852516270000004</v>
      </c>
      <c r="P136" s="70">
        <v>5.0640952850000004E-2</v>
      </c>
      <c r="Q136" s="70">
        <v>0.31877463904999997</v>
      </c>
    </row>
    <row r="137" spans="3:17" ht="71.25">
      <c r="C137" s="321" t="s">
        <v>712</v>
      </c>
      <c r="D137" s="322"/>
      <c r="E137" s="783"/>
      <c r="F137" s="325"/>
      <c r="G137" s="319" t="str">
        <f>IFERROR(IF(E137="","",IF(F137="Direct-from-manufacturer",(E137*H137/1000*'Reporting Year &amp; Inflation Adj.'!$F$9),(E137*I137/1000*'Reporting Year &amp; Inflation Adj.'!$F$9))),"")</f>
        <v/>
      </c>
      <c r="H137" s="790">
        <v>0.23310138384000001</v>
      </c>
      <c r="I137" s="793">
        <v>0.25553540661000007</v>
      </c>
      <c r="J137" s="324">
        <v>8.6533319133140663E-2</v>
      </c>
      <c r="K137" s="68">
        <v>333618</v>
      </c>
      <c r="L137" s="68" t="s">
        <v>3560</v>
      </c>
      <c r="M137" s="69" t="s">
        <v>440</v>
      </c>
      <c r="N137" s="69" t="s">
        <v>709</v>
      </c>
      <c r="O137" s="70">
        <v>0.27439556084000011</v>
      </c>
      <c r="P137" s="70">
        <v>2.4732114409999999E-2</v>
      </c>
      <c r="Q137" s="70">
        <v>0.29855072457000004</v>
      </c>
    </row>
    <row r="138" spans="3:17" ht="99.75">
      <c r="C138" s="321" t="s">
        <v>778</v>
      </c>
      <c r="D138" s="322"/>
      <c r="E138" s="783"/>
      <c r="F138" s="325"/>
      <c r="G138" s="319" t="str">
        <f>IFERROR(IF(E138="","",IF(F138="Direct-from-manufacturer",(E138*H138/1000*'Reporting Year &amp; Inflation Adj.'!$F$9),(E138*I138/1000*'Reporting Year &amp; Inflation Adj.'!$F$9))),"")</f>
        <v/>
      </c>
      <c r="H138" s="790">
        <v>0.10832362529999999</v>
      </c>
      <c r="I138" s="793">
        <v>0.12398090406499998</v>
      </c>
      <c r="J138" s="324">
        <v>0.12462744594844394</v>
      </c>
      <c r="K138" s="68">
        <v>335999</v>
      </c>
      <c r="L138" s="68" t="s">
        <v>3561</v>
      </c>
      <c r="M138" s="69" t="s">
        <v>440</v>
      </c>
      <c r="N138" s="69" t="s">
        <v>773</v>
      </c>
      <c r="O138" s="70">
        <v>0.11276621913000001</v>
      </c>
      <c r="P138" s="70">
        <v>1.6443919543999999E-2</v>
      </c>
      <c r="Q138" s="70">
        <v>0.12880740805000004</v>
      </c>
    </row>
    <row r="139" spans="3:17" ht="71.25">
      <c r="C139" s="321" t="s">
        <v>617</v>
      </c>
      <c r="D139" s="322"/>
      <c r="E139" s="783"/>
      <c r="F139" s="325"/>
      <c r="G139" s="319" t="str">
        <f>IFERROR(IF(E139="","",IF(F139="Direct-from-manufacturer",(E139*H139/1000*'Reporting Year &amp; Inflation Adj.'!$F$9),(E139*I139/1000*'Reporting Year &amp; Inflation Adj.'!$F$9))),"")</f>
        <v/>
      </c>
      <c r="H139" s="790">
        <v>0.56461848641500001</v>
      </c>
      <c r="I139" s="793">
        <v>0.62635244583999983</v>
      </c>
      <c r="J139" s="324">
        <v>9.8869408200282075E-2</v>
      </c>
      <c r="K139" s="68">
        <v>327999</v>
      </c>
      <c r="L139" s="68" t="s">
        <v>3563</v>
      </c>
      <c r="M139" s="69" t="s">
        <v>440</v>
      </c>
      <c r="N139" s="69" t="s">
        <v>613</v>
      </c>
      <c r="O139" s="70">
        <v>0.72153242747000002</v>
      </c>
      <c r="P139" s="70">
        <v>6.8358420279999998E-2</v>
      </c>
      <c r="Q139" s="70">
        <v>0.78933438853000004</v>
      </c>
    </row>
    <row r="140" spans="3:17" ht="28.5">
      <c r="C140" s="321" t="s">
        <v>408</v>
      </c>
      <c r="D140" s="322"/>
      <c r="E140" s="783"/>
      <c r="F140" s="325" t="s">
        <v>366</v>
      </c>
      <c r="G140" s="319" t="str">
        <f>IFERROR(IF(E140="","",IF(F140="Direct-from-manufacturer",(E140*H140/1000*'Reporting Year &amp; Inflation Adj.'!$F$9),(E140*I140/1000*'Reporting Year &amp; Inflation Adj.'!$F$9))),"")</f>
        <v/>
      </c>
      <c r="H140" s="790">
        <v>0.17371614970000002</v>
      </c>
      <c r="I140" s="793">
        <v>0.17371614970000002</v>
      </c>
      <c r="J140" s="324">
        <v>0</v>
      </c>
      <c r="K140" s="68" t="s">
        <v>409</v>
      </c>
      <c r="L140" s="68" t="s">
        <v>3564</v>
      </c>
      <c r="M140" s="69" t="s">
        <v>397</v>
      </c>
      <c r="N140" s="69" t="s">
        <v>403</v>
      </c>
      <c r="O140" s="785">
        <v>0.20379498792</v>
      </c>
      <c r="P140" s="785">
        <v>0</v>
      </c>
      <c r="Q140" s="785">
        <v>0.20379498792</v>
      </c>
    </row>
    <row r="141" spans="3:17" ht="42.75">
      <c r="C141" s="321" t="s">
        <v>547</v>
      </c>
      <c r="D141" s="322"/>
      <c r="E141" s="783"/>
      <c r="F141" s="325"/>
      <c r="G141" s="319" t="str">
        <f>IFERROR(IF(E141="","",IF(F141="Direct-from-manufacturer",(E141*H141/1000*'Reporting Year &amp; Inflation Adj.'!$F$9),(E141*I141/1000*'Reporting Year &amp; Inflation Adj.'!$F$9))),"")</f>
        <v/>
      </c>
      <c r="H141" s="790">
        <v>0.49215754710999998</v>
      </c>
      <c r="I141" s="793">
        <v>0.54388252924000002</v>
      </c>
      <c r="J141" s="324">
        <v>9.4325257104116211E-2</v>
      </c>
      <c r="K141" s="68">
        <v>324190</v>
      </c>
      <c r="L141" s="68" t="s">
        <v>3565</v>
      </c>
      <c r="M141" s="69" t="s">
        <v>440</v>
      </c>
      <c r="N141" s="69" t="s">
        <v>544</v>
      </c>
      <c r="O141" s="70">
        <v>0.36239404805000003</v>
      </c>
      <c r="P141" s="70">
        <v>3.2777612609000001E-2</v>
      </c>
      <c r="Q141" s="70">
        <v>0.39495476005000008</v>
      </c>
    </row>
    <row r="142" spans="3:17" ht="42.75">
      <c r="C142" s="321" t="s">
        <v>590</v>
      </c>
      <c r="D142" s="322"/>
      <c r="E142" s="783"/>
      <c r="F142" s="325"/>
      <c r="G142" s="319" t="str">
        <f>IFERROR(IF(E142="","",IF(F142="Direct-from-manufacturer",(E142*H142/1000*'Reporting Year &amp; Inflation Adj.'!$F$9),(E142*I142/1000*'Reporting Year &amp; Inflation Adj.'!$F$9))),"")</f>
        <v/>
      </c>
      <c r="H142" s="790">
        <v>0.30548257347999996</v>
      </c>
      <c r="I142" s="793">
        <v>0.33153348666999999</v>
      </c>
      <c r="J142" s="324">
        <v>7.701098800439915E-2</v>
      </c>
      <c r="K142" s="68">
        <v>326190</v>
      </c>
      <c r="L142" s="68" t="s">
        <v>3566</v>
      </c>
      <c r="M142" s="69" t="s">
        <v>440</v>
      </c>
      <c r="N142" s="69" t="s">
        <v>584</v>
      </c>
      <c r="O142" s="70">
        <v>0.34586472144999997</v>
      </c>
      <c r="P142" s="70">
        <v>2.7005266859999995E-2</v>
      </c>
      <c r="Q142" s="70">
        <v>0.37328631645999999</v>
      </c>
    </row>
    <row r="143" spans="3:17" ht="28.5">
      <c r="C143" s="321" t="s">
        <v>595</v>
      </c>
      <c r="D143" s="322"/>
      <c r="E143" s="783"/>
      <c r="F143" s="325"/>
      <c r="G143" s="319" t="str">
        <f>IFERROR(IF(E143="","",IF(F143="Direct-from-manufacturer",(E143*H143/1000*'Reporting Year &amp; Inflation Adj.'!$F$9),(E143*I143/1000*'Reporting Year &amp; Inflation Adj.'!$F$9))),"")</f>
        <v/>
      </c>
      <c r="H143" s="790">
        <v>0.26846910409000002</v>
      </c>
      <c r="I143" s="793">
        <v>0.29492997634000001</v>
      </c>
      <c r="J143" s="324">
        <v>9.2055630566697924E-2</v>
      </c>
      <c r="K143" s="68">
        <v>326290</v>
      </c>
      <c r="L143" s="68" t="s">
        <v>3568</v>
      </c>
      <c r="M143" s="69" t="s">
        <v>440</v>
      </c>
      <c r="N143" s="69" t="s">
        <v>593</v>
      </c>
      <c r="O143" s="70">
        <v>0.31456555627000005</v>
      </c>
      <c r="P143" s="70">
        <v>3.0503052339999996E-2</v>
      </c>
      <c r="Q143" s="70">
        <v>0.34476740673000006</v>
      </c>
    </row>
    <row r="144" spans="3:17" ht="85.5">
      <c r="C144" s="321" t="s">
        <v>633</v>
      </c>
      <c r="D144" s="322"/>
      <c r="E144" s="783"/>
      <c r="F144" s="325"/>
      <c r="G144" s="319" t="str">
        <f>IFERROR(IF(E144="","",IF(F144="Direct-from-manufacturer",(E144*H144/1000*'Reporting Year &amp; Inflation Adj.'!$F$9),(E144*I144/1000*'Reporting Year &amp; Inflation Adj.'!$F$9))),"")</f>
        <v/>
      </c>
      <c r="H144" s="790">
        <v>0.42309209008499993</v>
      </c>
      <c r="I144" s="793">
        <v>0.43948960778500001</v>
      </c>
      <c r="J144" s="324">
        <v>3.846069204045674E-2</v>
      </c>
      <c r="K144" s="68">
        <v>331490</v>
      </c>
      <c r="L144" s="68" t="s">
        <v>3569</v>
      </c>
      <c r="M144" s="69" t="s">
        <v>440</v>
      </c>
      <c r="N144" s="69" t="s">
        <v>631</v>
      </c>
      <c r="O144" s="70">
        <v>0.41561787219000002</v>
      </c>
      <c r="P144" s="70">
        <v>1.7676942274000004E-2</v>
      </c>
      <c r="Q144" s="70">
        <v>0.43342912461000005</v>
      </c>
    </row>
    <row r="145" spans="3:17" ht="28.5">
      <c r="C145" s="321" t="s">
        <v>506</v>
      </c>
      <c r="D145" s="322"/>
      <c r="E145" s="783"/>
      <c r="F145" s="325"/>
      <c r="G145" s="319" t="str">
        <f>IFERROR(IF(E145="","",IF(F145="Direct-from-manufacturer",(E145*H145/1000*'Reporting Year &amp; Inflation Adj.'!$F$9),(E145*I145/1000*'Reporting Year &amp; Inflation Adj.'!$F$9))),"")</f>
        <v/>
      </c>
      <c r="H145" s="790">
        <v>0.17673355617999997</v>
      </c>
      <c r="I145" s="793">
        <v>0.21843853084000006</v>
      </c>
      <c r="J145" s="324">
        <v>0.19234547606335653</v>
      </c>
      <c r="K145" s="68">
        <v>314900</v>
      </c>
      <c r="L145" s="68" t="s">
        <v>3572</v>
      </c>
      <c r="M145" s="69" t="s">
        <v>440</v>
      </c>
      <c r="N145" s="69" t="s">
        <v>508</v>
      </c>
      <c r="O145" s="70">
        <v>0.19902708847999998</v>
      </c>
      <c r="P145" s="70">
        <v>4.5984782549999992E-2</v>
      </c>
      <c r="Q145" s="70">
        <v>0.24460090095000001</v>
      </c>
    </row>
    <row r="146" spans="3:17" ht="57">
      <c r="C146" s="321" t="s">
        <v>819</v>
      </c>
      <c r="D146" s="322"/>
      <c r="E146" s="783"/>
      <c r="F146" s="325"/>
      <c r="G146" s="319" t="str">
        <f>IFERROR(IF(E146="","",IF(F146="Direct-from-manufacturer",(E146*H146/1000*'Reporting Year &amp; Inflation Adj.'!$F$9),(E146*I146/1000*'Reporting Year &amp; Inflation Adj.'!$F$9))),"")</f>
        <v/>
      </c>
      <c r="H146" s="790">
        <v>0.14884952899000004</v>
      </c>
      <c r="I146" s="793">
        <v>0.18533760860500004</v>
      </c>
      <c r="J146" s="324">
        <v>0.19580726981507496</v>
      </c>
      <c r="K146" s="68">
        <v>336999</v>
      </c>
      <c r="L146" s="68" t="s">
        <v>3573</v>
      </c>
      <c r="M146" s="69" t="s">
        <v>440</v>
      </c>
      <c r="N146" s="69" t="s">
        <v>817</v>
      </c>
      <c r="O146" s="70">
        <v>0.15818096037000001</v>
      </c>
      <c r="P146" s="70">
        <v>3.8647905687000002E-2</v>
      </c>
      <c r="Q146" s="70">
        <v>0.19702006317999998</v>
      </c>
    </row>
    <row r="147" spans="3:17" ht="71.25">
      <c r="C147" s="321" t="s">
        <v>799</v>
      </c>
      <c r="D147" s="322"/>
      <c r="E147" s="783"/>
      <c r="F147" s="325"/>
      <c r="G147" s="319" t="str">
        <f>IFERROR(IF(E147="","",IF(F147="Direct-from-manufacturer",(E147*H147/1000*'Reporting Year &amp; Inflation Adj.'!$F$9),(E147*I147/1000*'Reporting Year &amp; Inflation Adj.'!$F$9))),"")</f>
        <v/>
      </c>
      <c r="H147" s="790">
        <v>0.22226632837000002</v>
      </c>
      <c r="I147" s="793">
        <v>0.24481834794999999</v>
      </c>
      <c r="J147" s="324">
        <v>9.0931154798685923E-2</v>
      </c>
      <c r="K147" s="68">
        <v>336390</v>
      </c>
      <c r="L147" s="68" t="s">
        <v>3574</v>
      </c>
      <c r="M147" s="69" t="s">
        <v>440</v>
      </c>
      <c r="N147" s="69" t="s">
        <v>792</v>
      </c>
      <c r="O147" s="70">
        <v>0.24308240607000001</v>
      </c>
      <c r="P147" s="70">
        <v>2.3916725109999998E-2</v>
      </c>
      <c r="Q147" s="70">
        <v>0.26699881278999998</v>
      </c>
    </row>
    <row r="148" spans="3:17" ht="71.25">
      <c r="C148" s="321" t="s">
        <v>464</v>
      </c>
      <c r="D148" s="322"/>
      <c r="E148" s="783"/>
      <c r="F148" s="325"/>
      <c r="G148" s="319" t="str">
        <f>IFERROR(IF(E148="","",IF(F148="Direct-from-manufacturer",(E148*H148/1000*'Reporting Year &amp; Inflation Adj.'!$F$9),(E148*I148/1000*'Reporting Year &amp; Inflation Adj.'!$F$9))),"")</f>
        <v/>
      </c>
      <c r="H148" s="790">
        <v>0.90184057032500009</v>
      </c>
      <c r="I148" s="793">
        <v>0.93037815791000023</v>
      </c>
      <c r="J148" s="324">
        <v>3.0476859827294991E-2</v>
      </c>
      <c r="K148" s="68" t="s">
        <v>465</v>
      </c>
      <c r="L148" s="68" t="s">
        <v>3576</v>
      </c>
      <c r="M148" s="69" t="s">
        <v>440</v>
      </c>
      <c r="N148" s="69" t="s">
        <v>466</v>
      </c>
      <c r="O148" s="70">
        <v>1.1325682626499998</v>
      </c>
      <c r="P148" s="70">
        <v>3.3685192740000001E-2</v>
      </c>
      <c r="Q148" s="70">
        <v>1.16719155161</v>
      </c>
    </row>
    <row r="149" spans="3:17" ht="42.75">
      <c r="C149" s="321" t="s">
        <v>467</v>
      </c>
      <c r="D149" s="322"/>
      <c r="E149" s="783"/>
      <c r="F149" s="325"/>
      <c r="G149" s="319" t="str">
        <f>IFERROR(IF(E149="","",IF(F149="Direct-from-manufacturer",(E149*H149/1000*'Reporting Year &amp; Inflation Adj.'!$F$9),(E149*I149/1000*'Reporting Year &amp; Inflation Adj.'!$F$9))),"")</f>
        <v/>
      </c>
      <c r="H149" s="790">
        <v>0.43645850016999999</v>
      </c>
      <c r="I149" s="793">
        <v>0.47508573244999996</v>
      </c>
      <c r="J149" s="324">
        <v>8.0599903563784658E-2</v>
      </c>
      <c r="K149" s="68">
        <v>311615</v>
      </c>
      <c r="L149" s="68" t="s">
        <v>3577</v>
      </c>
      <c r="M149" s="69" t="s">
        <v>440</v>
      </c>
      <c r="N149" s="69" t="s">
        <v>466</v>
      </c>
      <c r="O149" s="70">
        <v>0.36950888717000002</v>
      </c>
      <c r="P149" s="70">
        <v>3.0894838415E-2</v>
      </c>
      <c r="Q149" s="70">
        <v>0.40007067654000006</v>
      </c>
    </row>
    <row r="150" spans="3:17" ht="42.75">
      <c r="C150" s="321" t="s">
        <v>720</v>
      </c>
      <c r="D150" s="322"/>
      <c r="E150" s="783"/>
      <c r="F150" s="325"/>
      <c r="G150" s="319" t="str">
        <f>IFERROR(IF(E150="","",IF(F150="Direct-from-manufacturer",(E150*H150/1000*'Reporting Year &amp; Inflation Adj.'!$F$9),(E150*I150/1000*'Reporting Year &amp; Inflation Adj.'!$F$9))),"")</f>
        <v/>
      </c>
      <c r="H150" s="790">
        <v>9.3657481550000005E-2</v>
      </c>
      <c r="I150" s="793">
        <v>0.11347922044</v>
      </c>
      <c r="J150" s="324">
        <v>0.17200978077145485</v>
      </c>
      <c r="K150" s="68">
        <v>333993</v>
      </c>
      <c r="L150" s="68" t="s">
        <v>3578</v>
      </c>
      <c r="M150" s="69" t="s">
        <v>440</v>
      </c>
      <c r="N150" s="69" t="s">
        <v>715</v>
      </c>
      <c r="O150" s="70">
        <v>0.11316522891</v>
      </c>
      <c r="P150" s="70">
        <v>2.331194961E-2</v>
      </c>
      <c r="Q150" s="70">
        <v>0.13708281952000001</v>
      </c>
    </row>
    <row r="151" spans="3:17" ht="71.25">
      <c r="C151" s="321" t="s">
        <v>569</v>
      </c>
      <c r="D151" s="322"/>
      <c r="E151" s="783"/>
      <c r="F151" s="325"/>
      <c r="G151" s="319" t="str">
        <f>IFERROR(IF(E151="","",IF(F151="Direct-from-manufacturer",(E151*H151/1000*'Reporting Year &amp; Inflation Adj.'!$F$9),(E151*I151/1000*'Reporting Year &amp; Inflation Adj.'!$F$9))),"")</f>
        <v/>
      </c>
      <c r="H151" s="790">
        <v>0.23381680672999999</v>
      </c>
      <c r="I151" s="793">
        <v>0.25979084622000004</v>
      </c>
      <c r="J151" s="324">
        <v>0.10038565880768237</v>
      </c>
      <c r="K151" s="68">
        <v>325510</v>
      </c>
      <c r="L151" s="68" t="s">
        <v>3579</v>
      </c>
      <c r="M151" s="69" t="s">
        <v>440</v>
      </c>
      <c r="N151" s="69" t="s">
        <v>571</v>
      </c>
      <c r="O151" s="70">
        <v>0.26528996117000003</v>
      </c>
      <c r="P151" s="70">
        <v>2.7608966799999999E-2</v>
      </c>
      <c r="Q151" s="70">
        <v>0.29369753056000009</v>
      </c>
    </row>
    <row r="152" spans="3:17" ht="57">
      <c r="C152" s="321" t="s">
        <v>529</v>
      </c>
      <c r="D152" s="322"/>
      <c r="E152" s="783"/>
      <c r="F152" s="325"/>
      <c r="G152" s="319" t="str">
        <f>IFERROR(IF(E152="","",IF(F152="Direct-from-manufacturer",(E152*H152/1000*'Reporting Year &amp; Inflation Adj.'!$F$9),(E152*I152/1000*'Reporting Year &amp; Inflation Adj.'!$F$9))),"")</f>
        <v/>
      </c>
      <c r="H152" s="790">
        <v>0.61318691408999992</v>
      </c>
      <c r="I152" s="793">
        <v>0.65746818335000001</v>
      </c>
      <c r="J152" s="324">
        <v>6.657778494613141E-2</v>
      </c>
      <c r="K152" s="68">
        <v>322120</v>
      </c>
      <c r="L152" s="68" t="s">
        <v>3580</v>
      </c>
      <c r="M152" s="69" t="s">
        <v>440</v>
      </c>
      <c r="N152" s="69" t="s">
        <v>528</v>
      </c>
      <c r="O152" s="70">
        <v>0.6043926944600001</v>
      </c>
      <c r="P152" s="70">
        <v>4.6905604510000004E-2</v>
      </c>
      <c r="Q152" s="70">
        <v>0.65133209347999999</v>
      </c>
    </row>
    <row r="153" spans="3:17" ht="99.75">
      <c r="C153" s="321" t="s">
        <v>534</v>
      </c>
      <c r="D153" s="322"/>
      <c r="E153" s="783"/>
      <c r="F153" s="325"/>
      <c r="G153" s="319" t="str">
        <f>IFERROR(IF(E153="","",IF(F153="Direct-from-manufacturer",(E153*H153/1000*'Reporting Year &amp; Inflation Adj.'!$F$9),(E153*I153/1000*'Reporting Year &amp; Inflation Adj.'!$F$9))),"")</f>
        <v/>
      </c>
      <c r="H153" s="790">
        <v>0.2923289302999999</v>
      </c>
      <c r="I153" s="793">
        <v>0.3239224904800001</v>
      </c>
      <c r="J153" s="324">
        <v>9.7918004992488622E-2</v>
      </c>
      <c r="K153" s="68">
        <v>322220</v>
      </c>
      <c r="L153" s="68" t="s">
        <v>3581</v>
      </c>
      <c r="M153" s="69" t="s">
        <v>440</v>
      </c>
      <c r="N153" s="69" t="s">
        <v>533</v>
      </c>
      <c r="O153" s="70">
        <v>0.33170700862999997</v>
      </c>
      <c r="P153" s="70">
        <v>3.4188710379999994E-2</v>
      </c>
      <c r="Q153" s="70">
        <v>0.36597936424999994</v>
      </c>
    </row>
    <row r="154" spans="3:17" ht="57">
      <c r="C154" s="321" t="s">
        <v>562</v>
      </c>
      <c r="D154" s="322"/>
      <c r="E154" s="783"/>
      <c r="F154" s="325"/>
      <c r="G154" s="319" t="str">
        <f>IFERROR(IF(E154="","",IF(F154="Direct-from-manufacturer",(E154*H154/1000*'Reporting Year &amp; Inflation Adj.'!$F$9),(E154*I154/1000*'Reporting Year &amp; Inflation Adj.'!$F$9))),"")</f>
        <v/>
      </c>
      <c r="H154" s="790">
        <v>0.4895777675600001</v>
      </c>
      <c r="I154" s="793">
        <v>0.52720455749999995</v>
      </c>
      <c r="J154" s="324">
        <v>7.2395615244657693E-2</v>
      </c>
      <c r="K154" s="68">
        <v>325320</v>
      </c>
      <c r="L154" s="68" t="s">
        <v>3583</v>
      </c>
      <c r="M154" s="69" t="s">
        <v>440</v>
      </c>
      <c r="N154" s="69" t="s">
        <v>561</v>
      </c>
      <c r="O154" s="70">
        <v>0.43564422722000001</v>
      </c>
      <c r="P154" s="70">
        <v>3.1160217010000005E-2</v>
      </c>
      <c r="Q154" s="70">
        <v>0.46635036561999993</v>
      </c>
    </row>
    <row r="155" spans="3:17" ht="71.25">
      <c r="C155" s="321" t="s">
        <v>548</v>
      </c>
      <c r="D155" s="322"/>
      <c r="E155" s="783"/>
      <c r="F155" s="325"/>
      <c r="G155" s="319" t="str">
        <f>IFERROR(IF(E155="","",IF(F155="Direct-from-manufacturer",(E155*H155/1000*'Reporting Year &amp; Inflation Adj.'!$F$9),(E155*I155/1000*'Reporting Year &amp; Inflation Adj.'!$F$9))),"")</f>
        <v/>
      </c>
      <c r="H155" s="790">
        <v>1.0741513641099998</v>
      </c>
      <c r="I155" s="793">
        <v>1.10096928885</v>
      </c>
      <c r="J155" s="324">
        <v>2.4493713233516051E-2</v>
      </c>
      <c r="K155" s="68">
        <v>325110</v>
      </c>
      <c r="L155" s="68" t="s">
        <v>3585</v>
      </c>
      <c r="M155" s="69" t="s">
        <v>440</v>
      </c>
      <c r="N155" s="69" t="s">
        <v>550</v>
      </c>
      <c r="O155" s="70">
        <v>0.79952337527999995</v>
      </c>
      <c r="P155" s="70">
        <v>1.6455985262000001E-2</v>
      </c>
      <c r="Q155" s="70">
        <v>0.8161715717000001</v>
      </c>
    </row>
    <row r="156" spans="3:17" ht="57">
      <c r="C156" s="321" t="s">
        <v>566</v>
      </c>
      <c r="D156" s="322"/>
      <c r="E156" s="783"/>
      <c r="F156" s="325"/>
      <c r="G156" s="319" t="str">
        <f>IFERROR(IF(E156="","",IF(F156="Direct-from-manufacturer",(E156*H156/1000*'Reporting Year &amp; Inflation Adj.'!$F$9),(E156*I156/1000*'Reporting Year &amp; Inflation Adj.'!$F$9))),"")</f>
        <v/>
      </c>
      <c r="H156" s="790">
        <v>4.3445766014999998E-2</v>
      </c>
      <c r="I156" s="793">
        <v>9.2694949965000009E-2</v>
      </c>
      <c r="J156" s="324">
        <v>0.53271160887022329</v>
      </c>
      <c r="K156" s="68">
        <v>325412</v>
      </c>
      <c r="L156" s="68" t="s">
        <v>3587</v>
      </c>
      <c r="M156" s="69" t="s">
        <v>440</v>
      </c>
      <c r="N156" s="69" t="s">
        <v>565</v>
      </c>
      <c r="O156" s="70">
        <v>4.5614550110000006E-2</v>
      </c>
      <c r="P156" s="70">
        <v>5.3858263049999994E-2</v>
      </c>
      <c r="Q156" s="70">
        <v>9.9569669200000002E-2</v>
      </c>
    </row>
    <row r="157" spans="3:17" ht="57">
      <c r="C157" s="321" t="s">
        <v>693</v>
      </c>
      <c r="D157" s="322"/>
      <c r="E157" s="783"/>
      <c r="F157" s="325"/>
      <c r="G157" s="319" t="str">
        <f>IFERROR(IF(E157="","",IF(F157="Direct-from-manufacturer",(E157*H157/1000*'Reporting Year &amp; Inflation Adj.'!$F$9),(E157*I157/1000*'Reporting Year &amp; Inflation Adj.'!$F$9))),"")</f>
        <v/>
      </c>
      <c r="H157" s="790">
        <v>6.9672254334999989E-2</v>
      </c>
      <c r="I157" s="793">
        <v>0.11280962276000001</v>
      </c>
      <c r="J157" s="324">
        <v>0.38318396784256742</v>
      </c>
      <c r="K157" s="68">
        <v>333316</v>
      </c>
      <c r="L157" s="68" t="s">
        <v>3589</v>
      </c>
      <c r="M157" s="69" t="s">
        <v>440</v>
      </c>
      <c r="N157" s="69" t="s">
        <v>692</v>
      </c>
      <c r="O157" s="70">
        <v>8.5510410029999998E-2</v>
      </c>
      <c r="P157" s="70">
        <v>5.0440933330000007E-2</v>
      </c>
      <c r="Q157" s="70">
        <v>0.13614725919000001</v>
      </c>
    </row>
    <row r="158" spans="3:17" ht="57">
      <c r="C158" s="321" t="s">
        <v>782</v>
      </c>
      <c r="D158" s="322"/>
      <c r="E158" s="783"/>
      <c r="F158" s="325"/>
      <c r="G158" s="319" t="str">
        <f>IFERROR(IF(E158="","",IF(F158="Direct-from-manufacturer",(E158*H158/1000*'Reporting Year &amp; Inflation Adj.'!$F$9),(E158*I158/1000*'Reporting Year &amp; Inflation Adj.'!$F$9))),"")</f>
        <v/>
      </c>
      <c r="H158" s="790">
        <v>0.22081176025999999</v>
      </c>
      <c r="I158" s="793">
        <v>0.24542484462</v>
      </c>
      <c r="J158" s="324">
        <v>0.10018410319489029</v>
      </c>
      <c r="K158" s="68">
        <v>336112</v>
      </c>
      <c r="L158" s="68" t="s">
        <v>3591</v>
      </c>
      <c r="M158" s="69" t="s">
        <v>440</v>
      </c>
      <c r="N158" s="69" t="s">
        <v>781</v>
      </c>
      <c r="O158" s="70">
        <v>0.24326222783999993</v>
      </c>
      <c r="P158" s="70">
        <v>2.6772232646E-2</v>
      </c>
      <c r="Q158" s="70">
        <v>0.26921807885999999</v>
      </c>
    </row>
    <row r="159" spans="3:17" ht="42.75">
      <c r="C159" s="321" t="s">
        <v>582</v>
      </c>
      <c r="D159" s="322"/>
      <c r="E159" s="783"/>
      <c r="F159" s="325"/>
      <c r="G159" s="319" t="str">
        <f>IFERROR(IF(E159="","",IF(F159="Direct-from-manufacturer",(E159*H159/1000*'Reporting Year &amp; Inflation Adj.'!$F$9),(E159*I159/1000*'Reporting Year &amp; Inflation Adj.'!$F$9))),"")</f>
        <v/>
      </c>
      <c r="H159" s="790">
        <v>0.48238730217000003</v>
      </c>
      <c r="I159" s="793">
        <v>0.50606931673</v>
      </c>
      <c r="J159" s="324">
        <v>4.7183645195663149E-2</v>
      </c>
      <c r="K159" s="68">
        <v>326110</v>
      </c>
      <c r="L159" s="68" t="s">
        <v>3592</v>
      </c>
      <c r="M159" s="69" t="s">
        <v>440</v>
      </c>
      <c r="N159" s="69" t="s">
        <v>584</v>
      </c>
      <c r="O159" s="70">
        <v>0.52348421889000007</v>
      </c>
      <c r="P159" s="70">
        <v>2.351999233E-2</v>
      </c>
      <c r="Q159" s="70">
        <v>0.54729505430000014</v>
      </c>
    </row>
    <row r="160" spans="3:17" ht="42.75">
      <c r="C160" s="321" t="s">
        <v>589</v>
      </c>
      <c r="D160" s="322"/>
      <c r="E160" s="783"/>
      <c r="F160" s="325"/>
      <c r="G160" s="319" t="str">
        <f>IFERROR(IF(E160="","",IF(F160="Direct-from-manufacturer",(E160*H160/1000*'Reporting Year &amp; Inflation Adj.'!$F$9),(E160*I160/1000*'Reporting Year &amp; Inflation Adj.'!$F$9))),"")</f>
        <v/>
      </c>
      <c r="H160" s="790">
        <v>0.49861901169999989</v>
      </c>
      <c r="I160" s="793">
        <v>0.52395571944999997</v>
      </c>
      <c r="J160" s="324">
        <v>4.8409477229536139E-2</v>
      </c>
      <c r="K160" s="68">
        <v>326160</v>
      </c>
      <c r="L160" s="68" t="s">
        <v>3593</v>
      </c>
      <c r="M160" s="69" t="s">
        <v>440</v>
      </c>
      <c r="N160" s="69" t="s">
        <v>584</v>
      </c>
      <c r="O160" s="70">
        <v>0.5556512979799999</v>
      </c>
      <c r="P160" s="70">
        <v>2.5777474839999998E-2</v>
      </c>
      <c r="Q160" s="70">
        <v>0.58135383307999999</v>
      </c>
    </row>
    <row r="161" spans="3:17" ht="42.75">
      <c r="C161" s="321" t="s">
        <v>585</v>
      </c>
      <c r="D161" s="322"/>
      <c r="E161" s="783"/>
      <c r="F161" s="325"/>
      <c r="G161" s="319" t="str">
        <f>IFERROR(IF(E161="","",IF(F161="Direct-from-manufacturer",(E161*H161/1000*'Reporting Year &amp; Inflation Adj.'!$F$9),(E161*I161/1000*'Reporting Year &amp; Inflation Adj.'!$F$9))),"")</f>
        <v/>
      </c>
      <c r="H161" s="790">
        <v>0.32636045278999998</v>
      </c>
      <c r="I161" s="793">
        <v>0.34749342882000006</v>
      </c>
      <c r="J161" s="324">
        <v>5.945266130687462E-2</v>
      </c>
      <c r="K161" s="68">
        <v>326120</v>
      </c>
      <c r="L161" s="68" t="s">
        <v>3594</v>
      </c>
      <c r="M161" s="69" t="s">
        <v>440</v>
      </c>
      <c r="N161" s="69" t="s">
        <v>584</v>
      </c>
      <c r="O161" s="70">
        <v>0.3334695438100001</v>
      </c>
      <c r="P161" s="70">
        <v>1.9263914397999998E-2</v>
      </c>
      <c r="Q161" s="70">
        <v>0.35255396824999996</v>
      </c>
    </row>
    <row r="162" spans="3:17" ht="71.25">
      <c r="C162" s="321" t="s">
        <v>20</v>
      </c>
      <c r="D162" s="322"/>
      <c r="E162" s="783"/>
      <c r="F162" s="325"/>
      <c r="G162" s="319" t="str">
        <f>IFERROR(IF(E162="","",IF(F162="Direct-from-manufacturer",(E162*H162/1000*'Reporting Year &amp; Inflation Adj.'!$F$9),(E162*I162/1000*'Reporting Year &amp; Inflation Adj.'!$F$9))),"")</f>
        <v/>
      </c>
      <c r="H162" s="790">
        <v>1.0794284655500002</v>
      </c>
      <c r="I162" s="793">
        <v>1.1084648110699997</v>
      </c>
      <c r="J162" s="324">
        <v>2.637493618022824E-2</v>
      </c>
      <c r="K162" s="68">
        <v>325211</v>
      </c>
      <c r="L162" s="68" t="s">
        <v>3595</v>
      </c>
      <c r="M162" s="69" t="s">
        <v>440</v>
      </c>
      <c r="N162" s="69" t="s">
        <v>556</v>
      </c>
      <c r="O162" s="70">
        <v>1.0265126327300003</v>
      </c>
      <c r="P162" s="70">
        <v>2.3765596268000001E-2</v>
      </c>
      <c r="Q162" s="70">
        <v>1.0503593402699998</v>
      </c>
    </row>
    <row r="163" spans="3:17" ht="85.5">
      <c r="C163" s="321" t="s">
        <v>518</v>
      </c>
      <c r="D163" s="322"/>
      <c r="E163" s="783"/>
      <c r="F163" s="325"/>
      <c r="G163" s="319" t="str">
        <f>IFERROR(IF(E163="","",IF(F163="Direct-from-manufacturer",(E163*H163/1000*'Reporting Year &amp; Inflation Adj.'!$F$9),(E163*I163/1000*'Reporting Year &amp; Inflation Adj.'!$F$9))),"")</f>
        <v/>
      </c>
      <c r="H163" s="790">
        <v>0.22250287687</v>
      </c>
      <c r="I163" s="793">
        <v>0.25041557557499999</v>
      </c>
      <c r="J163" s="324">
        <v>0.11109256826825478</v>
      </c>
      <c r="K163" s="68">
        <v>321200</v>
      </c>
      <c r="L163" s="68" t="s">
        <v>3596</v>
      </c>
      <c r="M163" s="69" t="s">
        <v>440</v>
      </c>
      <c r="N163" s="69" t="s">
        <v>520</v>
      </c>
      <c r="O163" s="70">
        <v>0.18880233258000004</v>
      </c>
      <c r="P163" s="70">
        <v>2.0890683063000005E-2</v>
      </c>
      <c r="Q163" s="70">
        <v>0.20898383300000001</v>
      </c>
    </row>
    <row r="164" spans="3:17" ht="42.75">
      <c r="C164" s="321" t="s">
        <v>587</v>
      </c>
      <c r="D164" s="322"/>
      <c r="E164" s="783"/>
      <c r="F164" s="325"/>
      <c r="G164" s="319" t="str">
        <f>IFERROR(IF(E164="","",IF(F164="Direct-from-manufacturer",(E164*H164/1000*'Reporting Year &amp; Inflation Adj.'!$F$9),(E164*I164/1000*'Reporting Year &amp; Inflation Adj.'!$F$9))),"")</f>
        <v/>
      </c>
      <c r="H164" s="790">
        <v>0.23095759288000001</v>
      </c>
      <c r="I164" s="793">
        <v>0.25512384109000003</v>
      </c>
      <c r="J164" s="324">
        <v>9.398112768512959E-2</v>
      </c>
      <c r="K164" s="68">
        <v>326140</v>
      </c>
      <c r="L164" s="68" t="s">
        <v>3597</v>
      </c>
      <c r="M164" s="69" t="s">
        <v>440</v>
      </c>
      <c r="N164" s="69" t="s">
        <v>584</v>
      </c>
      <c r="O164" s="70">
        <v>0.24782822651</v>
      </c>
      <c r="P164" s="70">
        <v>2.3910188079999999E-2</v>
      </c>
      <c r="Q164" s="70">
        <v>0.27213807374000004</v>
      </c>
    </row>
    <row r="165" spans="3:17" ht="57">
      <c r="C165" s="321" t="s">
        <v>651</v>
      </c>
      <c r="D165" s="322"/>
      <c r="E165" s="783"/>
      <c r="F165" s="325"/>
      <c r="G165" s="319" t="str">
        <f>IFERROR(IF(E165="","",IF(F165="Direct-from-manufacturer",(E165*H165/1000*'Reporting Year &amp; Inflation Adj.'!$F$9),(E165*I165/1000*'Reporting Year &amp; Inflation Adj.'!$F$9))),"")</f>
        <v/>
      </c>
      <c r="H165" s="790">
        <v>0.14277550233</v>
      </c>
      <c r="I165" s="793">
        <v>0.16446235712500001</v>
      </c>
      <c r="J165" s="324">
        <v>0.13057291717324945</v>
      </c>
      <c r="K165" s="68">
        <v>332410</v>
      </c>
      <c r="L165" s="68" t="s">
        <v>3600</v>
      </c>
      <c r="M165" s="69" t="s">
        <v>440</v>
      </c>
      <c r="N165" s="69" t="s">
        <v>653</v>
      </c>
      <c r="O165" s="70">
        <v>0.18240474083000008</v>
      </c>
      <c r="P165" s="70">
        <v>2.7458899169999995E-2</v>
      </c>
      <c r="Q165" s="70">
        <v>0.21035898907</v>
      </c>
    </row>
    <row r="166" spans="3:17" ht="42.75">
      <c r="C166" s="321" t="s">
        <v>717</v>
      </c>
      <c r="D166" s="322"/>
      <c r="E166" s="783"/>
      <c r="F166" s="325"/>
      <c r="G166" s="319" t="str">
        <f>IFERROR(IF(E166="","",IF(F166="Direct-from-manufacturer",(E166*H166/1000*'Reporting Year &amp; Inflation Adj.'!$F$9),(E166*I166/1000*'Reporting Year &amp; Inflation Adj.'!$F$9))),"")</f>
        <v/>
      </c>
      <c r="H166" s="790">
        <v>6.9699774785000029E-2</v>
      </c>
      <c r="I166" s="793">
        <v>0.11270584881500002</v>
      </c>
      <c r="J166" s="324">
        <v>0.38249529233182583</v>
      </c>
      <c r="K166" s="68">
        <v>333991</v>
      </c>
      <c r="L166" s="68" t="s">
        <v>3601</v>
      </c>
      <c r="M166" s="69" t="s">
        <v>440</v>
      </c>
      <c r="N166" s="69" t="s">
        <v>715</v>
      </c>
      <c r="O166" s="70">
        <v>8.3811345370000012E-2</v>
      </c>
      <c r="P166" s="70">
        <v>5.3077349519999997E-2</v>
      </c>
      <c r="Q166" s="70">
        <v>0.13708540869000002</v>
      </c>
    </row>
    <row r="167" spans="3:17" ht="71.25">
      <c r="C167" s="321" t="s">
        <v>624</v>
      </c>
      <c r="D167" s="322"/>
      <c r="E167" s="783"/>
      <c r="F167" s="325"/>
      <c r="G167" s="319" t="str">
        <f>IFERROR(IF(E167="","",IF(F167="Direct-from-manufacturer",(E167*H167/1000*'Reporting Year &amp; Inflation Adj.'!$F$9),(E167*I167/1000*'Reporting Year &amp; Inflation Adj.'!$F$9))),"")</f>
        <v/>
      </c>
      <c r="H167" s="790">
        <v>0.98188257017000002</v>
      </c>
      <c r="I167" s="793">
        <v>0.99579883295999994</v>
      </c>
      <c r="J167" s="324">
        <v>1.3993036028251424E-2</v>
      </c>
      <c r="K167" s="68">
        <v>331313</v>
      </c>
      <c r="L167" s="68" t="s">
        <v>3602</v>
      </c>
      <c r="M167" s="69" t="s">
        <v>440</v>
      </c>
      <c r="N167" s="69" t="s">
        <v>626</v>
      </c>
      <c r="O167" s="70">
        <v>1.0153660234199999</v>
      </c>
      <c r="P167" s="70">
        <v>1.4563116326999999E-2</v>
      </c>
      <c r="Q167" s="70">
        <v>1.0296261698600002</v>
      </c>
    </row>
    <row r="168" spans="3:17" ht="57">
      <c r="C168" s="321" t="s">
        <v>774</v>
      </c>
      <c r="D168" s="322"/>
      <c r="E168" s="783"/>
      <c r="F168" s="325"/>
      <c r="G168" s="319" t="str">
        <f>IFERROR(IF(E168="","",IF(F168="Direct-from-manufacturer",(E168*H168/1000*'Reporting Year &amp; Inflation Adj.'!$F$9),(E168*I168/1000*'Reporting Year &amp; Inflation Adj.'!$F$9))),"")</f>
        <v/>
      </c>
      <c r="H168" s="790">
        <v>3.9737992139999991E-2</v>
      </c>
      <c r="I168" s="793">
        <v>9.1219790034999998E-2</v>
      </c>
      <c r="J168" s="324">
        <v>0.56415855364558998</v>
      </c>
      <c r="K168" s="68">
        <v>335912</v>
      </c>
      <c r="L168" s="68" t="s">
        <v>3603</v>
      </c>
      <c r="M168" s="69" t="s">
        <v>440</v>
      </c>
      <c r="N168" s="69" t="s">
        <v>773</v>
      </c>
      <c r="O168" s="70">
        <v>4.6132598218999996E-2</v>
      </c>
      <c r="P168" s="70">
        <v>5.7275976110000001E-2</v>
      </c>
      <c r="Q168" s="70">
        <v>0.10330124572999999</v>
      </c>
    </row>
    <row r="169" spans="3:17" ht="71.25">
      <c r="C169" s="321" t="s">
        <v>618</v>
      </c>
      <c r="D169" s="322"/>
      <c r="E169" s="783"/>
      <c r="F169" s="325"/>
      <c r="G169" s="319" t="str">
        <f>IFERROR(IF(E169="","",IF(F169="Direct-from-manufacturer",(E169*H169/1000*'Reporting Year &amp; Inflation Adj.'!$F$9),(E169*I169/1000*'Reporting Year &amp; Inflation Adj.'!$F$9))),"")</f>
        <v/>
      </c>
      <c r="H169" s="790">
        <v>0.97987255645499982</v>
      </c>
      <c r="I169" s="793">
        <v>1.0052146967749997</v>
      </c>
      <c r="J169" s="324">
        <v>2.5246835612751234E-2</v>
      </c>
      <c r="K169" s="68">
        <v>331110</v>
      </c>
      <c r="L169" s="68" t="s">
        <v>3604</v>
      </c>
      <c r="M169" s="69" t="s">
        <v>440</v>
      </c>
      <c r="N169" s="69" t="s">
        <v>620</v>
      </c>
      <c r="O169" s="70">
        <v>0.77183945699000012</v>
      </c>
      <c r="P169" s="70">
        <v>1.8245943663999998E-2</v>
      </c>
      <c r="Q169" s="70">
        <v>0.79054003512999993</v>
      </c>
    </row>
    <row r="170" spans="3:17" ht="71.25">
      <c r="C170" s="321" t="s">
        <v>742</v>
      </c>
      <c r="D170" s="322"/>
      <c r="E170" s="783"/>
      <c r="F170" s="325"/>
      <c r="G170" s="319" t="str">
        <f>IFERROR(IF(E170="","",IF(F170="Direct-from-manufacturer",(E170*H170/1000*'Reporting Year &amp; Inflation Adj.'!$F$9),(E170*I170/1000*'Reporting Year &amp; Inflation Adj.'!$F$9))),"")</f>
        <v/>
      </c>
      <c r="H170" s="790">
        <v>7.4854993345000009E-2</v>
      </c>
      <c r="I170" s="793">
        <v>0.11184467555499999</v>
      </c>
      <c r="J170" s="324">
        <v>0.33044241852912942</v>
      </c>
      <c r="K170" s="68">
        <v>334418</v>
      </c>
      <c r="L170" s="68" t="s">
        <v>3605</v>
      </c>
      <c r="M170" s="69" t="s">
        <v>440</v>
      </c>
      <c r="N170" s="69" t="s">
        <v>739</v>
      </c>
      <c r="O170" s="70">
        <v>6.8991964189999991E-2</v>
      </c>
      <c r="P170" s="70">
        <v>3.2974296680000001E-2</v>
      </c>
      <c r="Q170" s="70">
        <v>0.10196279913000002</v>
      </c>
    </row>
    <row r="171" spans="3:17" ht="42.75">
      <c r="C171" s="321" t="s">
        <v>541</v>
      </c>
      <c r="D171" s="322"/>
      <c r="E171" s="783"/>
      <c r="F171" s="325"/>
      <c r="G171" s="319" t="str">
        <f>IFERROR(IF(E171="","",IF(F171="Direct-from-manufacturer",(E171*H171/1000*'Reporting Year &amp; Inflation Adj.'!$F$9),(E171*I171/1000*'Reporting Year &amp; Inflation Adj.'!$F$9))),"")</f>
        <v/>
      </c>
      <c r="H171" s="790">
        <v>0.19966070693999999</v>
      </c>
      <c r="I171" s="793">
        <v>0.22219662226999998</v>
      </c>
      <c r="J171" s="324">
        <v>0.10323620085964326</v>
      </c>
      <c r="K171" s="68">
        <v>323120</v>
      </c>
      <c r="L171" s="68" t="s">
        <v>3606</v>
      </c>
      <c r="M171" s="69" t="s">
        <v>440</v>
      </c>
      <c r="N171" s="69" t="s">
        <v>540</v>
      </c>
      <c r="O171" s="70">
        <v>0.21558926702</v>
      </c>
      <c r="P171" s="70">
        <v>2.2997494842399994E-2</v>
      </c>
      <c r="Q171" s="70">
        <v>0.23861667911999995</v>
      </c>
    </row>
    <row r="172" spans="3:17" ht="85.5">
      <c r="C172" s="321" t="s">
        <v>806</v>
      </c>
      <c r="D172" s="322"/>
      <c r="E172" s="783"/>
      <c r="F172" s="325"/>
      <c r="G172" s="319" t="str">
        <f>IFERROR(IF(E172="","",IF(F172="Direct-from-manufacturer",(E172*H172/1000*'Reporting Year &amp; Inflation Adj.'!$F$9),(E172*I172/1000*'Reporting Year &amp; Inflation Adj.'!$F$9))),"")</f>
        <v/>
      </c>
      <c r="H172" s="790">
        <v>0.25144827287000004</v>
      </c>
      <c r="I172" s="793">
        <v>0.25949053658999999</v>
      </c>
      <c r="J172" s="324">
        <v>2.8743954804737338E-2</v>
      </c>
      <c r="K172" s="68" t="s">
        <v>807</v>
      </c>
      <c r="L172" s="68" t="s">
        <v>3609</v>
      </c>
      <c r="M172" s="69" t="s">
        <v>440</v>
      </c>
      <c r="N172" s="69" t="s">
        <v>802</v>
      </c>
      <c r="O172" s="70">
        <v>0.28799345346000005</v>
      </c>
      <c r="P172" s="70">
        <v>7.4908710909999997E-3</v>
      </c>
      <c r="Q172" s="70">
        <v>0.29516768837999996</v>
      </c>
    </row>
    <row r="173" spans="3:17" ht="71.25">
      <c r="C173" s="321" t="s">
        <v>808</v>
      </c>
      <c r="D173" s="322"/>
      <c r="E173" s="783"/>
      <c r="F173" s="325"/>
      <c r="G173" s="319" t="str">
        <f>IFERROR(IF(E173="","",IF(F173="Direct-from-manufacturer",(E173*H173/1000*'Reporting Year &amp; Inflation Adj.'!$F$9),(E173*I173/1000*'Reporting Year &amp; Inflation Adj.'!$F$9))),"")</f>
        <v/>
      </c>
      <c r="H173" s="790">
        <v>0.36469741004000011</v>
      </c>
      <c r="I173" s="793">
        <v>0.39658558694000007</v>
      </c>
      <c r="J173" s="324">
        <v>7.8799036136499689E-2</v>
      </c>
      <c r="K173" s="68">
        <v>336500</v>
      </c>
      <c r="L173" s="68" t="s">
        <v>3611</v>
      </c>
      <c r="M173" s="69" t="s">
        <v>440</v>
      </c>
      <c r="N173" s="69" t="s">
        <v>810</v>
      </c>
      <c r="O173" s="70">
        <v>0.41443393199000006</v>
      </c>
      <c r="P173" s="70">
        <v>3.1586132583000005E-2</v>
      </c>
      <c r="Q173" s="70">
        <v>0.44590837721000004</v>
      </c>
    </row>
    <row r="174" spans="3:17" ht="42.75">
      <c r="C174" s="321" t="s">
        <v>605</v>
      </c>
      <c r="D174" s="322"/>
      <c r="E174" s="783"/>
      <c r="F174" s="325"/>
      <c r="G174" s="319" t="str">
        <f>IFERROR(IF(E174="","",IF(F174="Direct-from-manufacturer",(E174*H174/1000*'Reporting Year &amp; Inflation Adj.'!$F$9),(E174*I174/1000*'Reporting Year &amp; Inflation Adj.'!$F$9))),"")</f>
        <v/>
      </c>
      <c r="H174" s="790">
        <v>0.385232088275</v>
      </c>
      <c r="I174" s="793">
        <v>0.43835015037499997</v>
      </c>
      <c r="J174" s="324">
        <v>0.12255913970610099</v>
      </c>
      <c r="K174" s="68">
        <v>327320</v>
      </c>
      <c r="L174" s="68" t="s">
        <v>3612</v>
      </c>
      <c r="M174" s="69" t="s">
        <v>440</v>
      </c>
      <c r="N174" s="69" t="s">
        <v>604</v>
      </c>
      <c r="O174" s="70">
        <v>0.54032261407999993</v>
      </c>
      <c r="P174" s="70">
        <v>6.7210360769999991E-2</v>
      </c>
      <c r="Q174" s="70">
        <v>0.60802484657999989</v>
      </c>
    </row>
    <row r="175" spans="3:17" ht="57">
      <c r="C175" s="321" t="s">
        <v>448</v>
      </c>
      <c r="D175" s="322"/>
      <c r="E175" s="783"/>
      <c r="F175" s="325"/>
      <c r="G175" s="319" t="str">
        <f>IFERROR(IF(E175="","",IF(F175="Direct-from-manufacturer",(E175*H175/1000*'Reporting Year &amp; Inflation Adj.'!$F$9),(E175*I175/1000*'Reporting Year &amp; Inflation Adj.'!$F$9))),"")</f>
        <v/>
      </c>
      <c r="H175" s="790">
        <v>0.41315716136000002</v>
      </c>
      <c r="I175" s="793">
        <v>0.44192409436000007</v>
      </c>
      <c r="J175" s="324">
        <v>6.5831525857697734E-2</v>
      </c>
      <c r="K175" s="68">
        <v>311225</v>
      </c>
      <c r="L175" s="68" t="s">
        <v>3613</v>
      </c>
      <c r="M175" s="69" t="s">
        <v>440</v>
      </c>
      <c r="N175" s="69" t="s">
        <v>445</v>
      </c>
      <c r="O175" s="70">
        <v>0.36608846545000001</v>
      </c>
      <c r="P175" s="70">
        <v>2.5554933170000002E-2</v>
      </c>
      <c r="Q175" s="70">
        <v>0.39217908142000002</v>
      </c>
    </row>
    <row r="176" spans="3:17" ht="42.75">
      <c r="C176" s="321" t="s">
        <v>770</v>
      </c>
      <c r="D176" s="322"/>
      <c r="E176" s="783"/>
      <c r="F176" s="325"/>
      <c r="G176" s="319" t="str">
        <f>IFERROR(IF(E176="","",IF(F176="Direct-from-manufacturer",(E176*H176/1000*'Reporting Year &amp; Inflation Adj.'!$F$9),(E176*I176/1000*'Reporting Year &amp; Inflation Adj.'!$F$9))),"")</f>
        <v/>
      </c>
      <c r="H176" s="790">
        <v>0.10124125599999999</v>
      </c>
      <c r="I176" s="793">
        <v>0.11621965322</v>
      </c>
      <c r="J176" s="324">
        <v>0.13241895198971065</v>
      </c>
      <c r="K176" s="68">
        <v>335314</v>
      </c>
      <c r="L176" s="68" t="s">
        <v>3614</v>
      </c>
      <c r="M176" s="69" t="s">
        <v>440</v>
      </c>
      <c r="N176" s="69" t="s">
        <v>767</v>
      </c>
      <c r="O176" s="70">
        <v>0.12015783872999999</v>
      </c>
      <c r="P176" s="70">
        <v>1.846982682E-2</v>
      </c>
      <c r="Q176" s="70">
        <v>0.13861999466</v>
      </c>
    </row>
    <row r="177" spans="3:17" ht="57">
      <c r="C177" s="321" t="s">
        <v>594</v>
      </c>
      <c r="D177" s="322"/>
      <c r="E177" s="783"/>
      <c r="F177" s="325"/>
      <c r="G177" s="319" t="str">
        <f>IFERROR(IF(E177="","",IF(F177="Direct-from-manufacturer",(E177*H177/1000*'Reporting Year &amp; Inflation Adj.'!$F$9),(E177*I177/1000*'Reporting Year &amp; Inflation Adj.'!$F$9))),"")</f>
        <v/>
      </c>
      <c r="H177" s="790">
        <v>0.25341746737999998</v>
      </c>
      <c r="I177" s="793">
        <v>0.28073223889999999</v>
      </c>
      <c r="J177" s="324">
        <v>9.445939073084493E-2</v>
      </c>
      <c r="K177" s="68">
        <v>326220</v>
      </c>
      <c r="L177" s="68" t="s">
        <v>3617</v>
      </c>
      <c r="M177" s="69" t="s">
        <v>440</v>
      </c>
      <c r="N177" s="69" t="s">
        <v>593</v>
      </c>
      <c r="O177" s="70">
        <v>0.28222707252000007</v>
      </c>
      <c r="P177" s="70">
        <v>2.8248525270000005E-2</v>
      </c>
      <c r="Q177" s="70">
        <v>0.31099099503999994</v>
      </c>
    </row>
    <row r="178" spans="3:17" ht="28.5">
      <c r="C178" s="321" t="s">
        <v>591</v>
      </c>
      <c r="D178" s="322"/>
      <c r="E178" s="783"/>
      <c r="F178" s="325"/>
      <c r="G178" s="319" t="str">
        <f>IFERROR(IF(E178="","",IF(F178="Direct-from-manufacturer",(E178*H178/1000*'Reporting Year &amp; Inflation Adj.'!$F$9),(E178*I178/1000*'Reporting Year &amp; Inflation Adj.'!$F$9))),"")</f>
        <v/>
      </c>
      <c r="H178" s="790">
        <v>0.19359245234499994</v>
      </c>
      <c r="I178" s="793">
        <v>0.23037858969000002</v>
      </c>
      <c r="J178" s="324">
        <v>0.15878338329626399</v>
      </c>
      <c r="K178" s="68">
        <v>326210</v>
      </c>
      <c r="L178" s="68" t="s">
        <v>3618</v>
      </c>
      <c r="M178" s="69" t="s">
        <v>440</v>
      </c>
      <c r="N178" s="69" t="s">
        <v>593</v>
      </c>
      <c r="O178" s="70">
        <v>0.23474037034000003</v>
      </c>
      <c r="P178" s="70">
        <v>4.3445601030000003E-2</v>
      </c>
      <c r="Q178" s="70">
        <v>0.27769541165</v>
      </c>
    </row>
    <row r="179" spans="3:17" ht="199.5">
      <c r="C179" s="321" t="s">
        <v>383</v>
      </c>
      <c r="D179" s="322"/>
      <c r="E179" s="783"/>
      <c r="F179" s="325"/>
      <c r="G179" s="319" t="str">
        <f>IFERROR(IF(E179="","",IF(F179="Direct-from-manufacturer",(E179*H179/1000*'Reporting Year &amp; Inflation Adj.'!$F$9),(E179*I179/1000*'Reporting Year &amp; Inflation Adj.'!$F$9))),"")</f>
        <v/>
      </c>
      <c r="H179" s="790">
        <v>0.15494301827499998</v>
      </c>
      <c r="I179" s="793">
        <v>0.27599302729499997</v>
      </c>
      <c r="J179" s="324">
        <v>0.43852533506447994</v>
      </c>
      <c r="K179" s="68" t="s">
        <v>384</v>
      </c>
      <c r="L179" s="68" t="s">
        <v>3620</v>
      </c>
      <c r="M179" s="69" t="s">
        <v>371</v>
      </c>
      <c r="N179" s="69" t="s">
        <v>382</v>
      </c>
      <c r="O179" s="70">
        <v>0.18443338910000001</v>
      </c>
      <c r="P179" s="70">
        <v>0.12603326486999999</v>
      </c>
      <c r="Q179" s="70">
        <v>0.31149319929000008</v>
      </c>
    </row>
    <row r="180" spans="3:17" ht="42.75">
      <c r="C180" s="321" t="s">
        <v>536</v>
      </c>
      <c r="D180" s="322"/>
      <c r="E180" s="783"/>
      <c r="F180" s="325"/>
      <c r="G180" s="319" t="str">
        <f>IFERROR(IF(E180="","",IF(F180="Direct-from-manufacturer",(E180*H180/1000*'Reporting Year &amp; Inflation Adj.'!$F$9),(E180*I180/1000*'Reporting Year &amp; Inflation Adj.'!$F$9))),"")</f>
        <v/>
      </c>
      <c r="H180" s="790">
        <v>0.27202439321000005</v>
      </c>
      <c r="I180" s="793">
        <v>0.33189288315999993</v>
      </c>
      <c r="J180" s="324">
        <v>0.17978848936701619</v>
      </c>
      <c r="K180" s="68">
        <v>322291</v>
      </c>
      <c r="L180" s="68" t="s">
        <v>3621</v>
      </c>
      <c r="M180" s="69" t="s">
        <v>440</v>
      </c>
      <c r="N180" s="69" t="s">
        <v>533</v>
      </c>
      <c r="O180" s="70">
        <v>0.27692581413000006</v>
      </c>
      <c r="P180" s="70">
        <v>6.5279433380000015E-2</v>
      </c>
      <c r="Q180" s="70">
        <v>0.34168785508999994</v>
      </c>
    </row>
    <row r="181" spans="3:17" ht="57">
      <c r="C181" s="321" t="s">
        <v>665</v>
      </c>
      <c r="D181" s="322"/>
      <c r="E181" s="783"/>
      <c r="F181" s="325"/>
      <c r="G181" s="319" t="str">
        <f>IFERROR(IF(E181="","",IF(F181="Direct-from-manufacturer",(E181*H181/1000*'Reporting Year &amp; Inflation Adj.'!$F$9),(E181*I181/1000*'Reporting Year &amp; Inflation Adj.'!$F$9))),"")</f>
        <v/>
      </c>
      <c r="H181" s="790">
        <v>0.18386147517499998</v>
      </c>
      <c r="I181" s="793">
        <v>0.20641237660500003</v>
      </c>
      <c r="J181" s="324">
        <v>0.10974550364947092</v>
      </c>
      <c r="K181" s="68">
        <v>332720</v>
      </c>
      <c r="L181" s="68" t="s">
        <v>3624</v>
      </c>
      <c r="M181" s="69" t="s">
        <v>440</v>
      </c>
      <c r="N181" s="69" t="s">
        <v>664</v>
      </c>
      <c r="O181" s="70">
        <v>0.22279828508999999</v>
      </c>
      <c r="P181" s="70">
        <v>2.6651160540000007E-2</v>
      </c>
      <c r="Q181" s="70">
        <v>0.24924633873999999</v>
      </c>
    </row>
    <row r="182" spans="3:17" ht="85.5">
      <c r="C182" s="321" t="s">
        <v>469</v>
      </c>
      <c r="D182" s="322"/>
      <c r="E182" s="783"/>
      <c r="F182" s="325"/>
      <c r="G182" s="319" t="str">
        <f>IFERROR(IF(E182="","",IF(F182="Direct-from-manufacturer",(E182*H182/1000*'Reporting Year &amp; Inflation Adj.'!$F$9),(E182*I182/1000*'Reporting Year &amp; Inflation Adj.'!$F$9))),"")</f>
        <v/>
      </c>
      <c r="H182" s="790">
        <v>0.24123004120000002</v>
      </c>
      <c r="I182" s="793">
        <v>0.26730087316500001</v>
      </c>
      <c r="J182" s="324">
        <v>9.8359164052452389E-2</v>
      </c>
      <c r="K182" s="68">
        <v>311700</v>
      </c>
      <c r="L182" s="68" t="s">
        <v>3625</v>
      </c>
      <c r="M182" s="69" t="s">
        <v>440</v>
      </c>
      <c r="N182" s="69" t="s">
        <v>471</v>
      </c>
      <c r="O182" s="70">
        <v>0.24211876826599998</v>
      </c>
      <c r="P182" s="70">
        <v>2.7034874819999999E-2</v>
      </c>
      <c r="Q182" s="70">
        <v>0.26924377116999998</v>
      </c>
    </row>
    <row r="183" spans="3:17" ht="99.75">
      <c r="C183" s="321" t="s">
        <v>482</v>
      </c>
      <c r="D183" s="322"/>
      <c r="E183" s="783"/>
      <c r="F183" s="325"/>
      <c r="G183" s="319" t="str">
        <f>IFERROR(IF(E183="","",IF(F183="Direct-from-manufacturer",(E183*H183/1000*'Reporting Year &amp; Inflation Adj.'!$F$9),(E183*I183/1000*'Reporting Year &amp; Inflation Adj.'!$F$9))),"")</f>
        <v/>
      </c>
      <c r="H183" s="790">
        <v>0.25757074859000001</v>
      </c>
      <c r="I183" s="793">
        <v>0.29299504563000001</v>
      </c>
      <c r="J183" s="324">
        <v>0.1217814994901284</v>
      </c>
      <c r="K183" s="68">
        <v>311940</v>
      </c>
      <c r="L183" s="68" t="s">
        <v>3626</v>
      </c>
      <c r="M183" s="69" t="s">
        <v>440</v>
      </c>
      <c r="N183" s="69" t="s">
        <v>479</v>
      </c>
      <c r="O183" s="70">
        <v>0.30880552889000012</v>
      </c>
      <c r="P183" s="70">
        <v>4.0835578340000005E-2</v>
      </c>
      <c r="Q183" s="70">
        <v>0.34950990846999991</v>
      </c>
    </row>
    <row r="184" spans="3:17" ht="156.75">
      <c r="C184" s="321" t="s">
        <v>627</v>
      </c>
      <c r="D184" s="322"/>
      <c r="E184" s="783"/>
      <c r="F184" s="325"/>
      <c r="G184" s="319" t="str">
        <f>IFERROR(IF(E184="","",IF(F184="Direct-from-manufacturer",(E184*H184/1000*'Reporting Year &amp; Inflation Adj.'!$F$9),(E184*I184/1000*'Reporting Year &amp; Inflation Adj.'!$F$9))),"")</f>
        <v/>
      </c>
      <c r="H184" s="790">
        <v>0.76708773340499992</v>
      </c>
      <c r="I184" s="793">
        <v>0.79138941594999979</v>
      </c>
      <c r="J184" s="324">
        <v>3.0124676707208135E-2</v>
      </c>
      <c r="K184" s="68" t="s">
        <v>628</v>
      </c>
      <c r="L184" s="68" t="s">
        <v>3627</v>
      </c>
      <c r="M184" s="69" t="s">
        <v>440</v>
      </c>
      <c r="N184" s="69" t="s">
        <v>626</v>
      </c>
      <c r="O184" s="70">
        <v>0.70626089218999999</v>
      </c>
      <c r="P184" s="70">
        <v>2.1201341824999997E-2</v>
      </c>
      <c r="Q184" s="70">
        <v>0.72777907005999998</v>
      </c>
    </row>
    <row r="185" spans="3:17" ht="71.25">
      <c r="C185" s="321" t="s">
        <v>632</v>
      </c>
      <c r="D185" s="322"/>
      <c r="E185" s="783"/>
      <c r="F185" s="325"/>
      <c r="G185" s="319" t="str">
        <f>IFERROR(IF(E185="","",IF(F185="Direct-from-manufacturer",(E185*H185/1000*'Reporting Year &amp; Inflation Adj.'!$F$9),(E185*I185/1000*'Reporting Year &amp; Inflation Adj.'!$F$9))),"")</f>
        <v/>
      </c>
      <c r="H185" s="790">
        <v>0.31782797721499995</v>
      </c>
      <c r="I185" s="793">
        <v>0.33641808841000004</v>
      </c>
      <c r="J185" s="324">
        <v>5.3667173115841682E-2</v>
      </c>
      <c r="K185" s="68">
        <v>331420</v>
      </c>
      <c r="L185" s="68" t="s">
        <v>3628</v>
      </c>
      <c r="M185" s="69" t="s">
        <v>440</v>
      </c>
      <c r="N185" s="69" t="s">
        <v>631</v>
      </c>
      <c r="O185" s="70">
        <v>0.31700213457000004</v>
      </c>
      <c r="P185" s="70">
        <v>1.8743245710000002E-2</v>
      </c>
      <c r="Q185" s="70">
        <v>0.33595611052999996</v>
      </c>
    </row>
    <row r="186" spans="3:17" ht="42.75">
      <c r="C186" s="321" t="s">
        <v>621</v>
      </c>
      <c r="D186" s="322"/>
      <c r="E186" s="783"/>
      <c r="F186" s="325"/>
      <c r="G186" s="319" t="str">
        <f>IFERROR(IF(E186="","",IF(F186="Direct-from-manufacturer",(E186*H186/1000*'Reporting Year &amp; Inflation Adj.'!$F$9),(E186*I186/1000*'Reporting Year &amp; Inflation Adj.'!$F$9))),"")</f>
        <v/>
      </c>
      <c r="H186" s="790">
        <v>0.37400579378000004</v>
      </c>
      <c r="I186" s="793">
        <v>0.39284536914500001</v>
      </c>
      <c r="J186" s="324">
        <v>4.9729318223907186E-2</v>
      </c>
      <c r="K186" s="68">
        <v>331200</v>
      </c>
      <c r="L186" s="68" t="s">
        <v>3629</v>
      </c>
      <c r="M186" s="69" t="s">
        <v>440</v>
      </c>
      <c r="N186" s="69" t="s">
        <v>623</v>
      </c>
      <c r="O186" s="70">
        <v>0.34387831744999997</v>
      </c>
      <c r="P186" s="70">
        <v>1.6913450738999997E-2</v>
      </c>
      <c r="Q186" s="70">
        <v>0.36146774197000003</v>
      </c>
    </row>
    <row r="187" spans="3:17" ht="42.75">
      <c r="C187" s="321" t="s">
        <v>688</v>
      </c>
      <c r="D187" s="322"/>
      <c r="E187" s="783"/>
      <c r="F187" s="325"/>
      <c r="G187" s="319" t="str">
        <f>IFERROR(IF(E187="","",IF(F187="Direct-from-manufacturer",(E187*H187/1000*'Reporting Year &amp; Inflation Adj.'!$F$9),(E187*I187/1000*'Reporting Year &amp; Inflation Adj.'!$F$9))),"")</f>
        <v/>
      </c>
      <c r="H187" s="790">
        <v>0.11586878079499999</v>
      </c>
      <c r="I187" s="793">
        <v>0.13366218905000002</v>
      </c>
      <c r="J187" s="324">
        <v>0.13455221557289018</v>
      </c>
      <c r="K187" s="68">
        <v>333242</v>
      </c>
      <c r="L187" s="68" t="s">
        <v>3631</v>
      </c>
      <c r="M187" s="69" t="s">
        <v>440</v>
      </c>
      <c r="N187" s="69" t="s">
        <v>687</v>
      </c>
      <c r="O187" s="70">
        <v>0.13155034077000002</v>
      </c>
      <c r="P187" s="70">
        <v>2.0184457319999998E-2</v>
      </c>
      <c r="Q187" s="70">
        <v>0.15094020688000001</v>
      </c>
    </row>
    <row r="188" spans="3:17" ht="57">
      <c r="C188" s="321" t="s">
        <v>740</v>
      </c>
      <c r="D188" s="322"/>
      <c r="E188" s="783"/>
      <c r="F188" s="325"/>
      <c r="G188" s="319" t="str">
        <f>IFERROR(IF(E188="","",IF(F188="Direct-from-manufacturer",(E188*H188/1000*'Reporting Year &amp; Inflation Adj.'!$F$9),(E188*I188/1000*'Reporting Year &amp; Inflation Adj.'!$F$9))),"")</f>
        <v/>
      </c>
      <c r="H188" s="790">
        <v>0.17894751290000002</v>
      </c>
      <c r="I188" s="793">
        <v>0.20616808105000001</v>
      </c>
      <c r="J188" s="324">
        <v>0.13268080156096501</v>
      </c>
      <c r="K188" s="68">
        <v>334413</v>
      </c>
      <c r="L188" s="68" t="s">
        <v>3632</v>
      </c>
      <c r="M188" s="69" t="s">
        <v>440</v>
      </c>
      <c r="N188" s="69" t="s">
        <v>739</v>
      </c>
      <c r="O188" s="70">
        <v>0.19313321034000003</v>
      </c>
      <c r="P188" s="70">
        <v>2.7888705189999998E-2</v>
      </c>
      <c r="Q188" s="70">
        <v>0.22072433416000001</v>
      </c>
    </row>
    <row r="189" spans="3:17" ht="42.75">
      <c r="C189" s="321" t="s">
        <v>831</v>
      </c>
      <c r="D189" s="322"/>
      <c r="E189" s="783"/>
      <c r="F189" s="325"/>
      <c r="G189" s="319" t="str">
        <f>IFERROR(IF(E189="","",IF(F189="Direct-from-manufacturer",(E189*H189/1000*'Reporting Year &amp; Inflation Adj.'!$F$9),(E189*I189/1000*'Reporting Year &amp; Inflation Adj.'!$F$9))),"")</f>
        <v/>
      </c>
      <c r="H189" s="790">
        <v>0.19042906213499999</v>
      </c>
      <c r="I189" s="793">
        <v>0.22953425472499997</v>
      </c>
      <c r="J189" s="324">
        <v>0.17343773983841926</v>
      </c>
      <c r="K189" s="68">
        <v>337215</v>
      </c>
      <c r="L189" s="68" t="s">
        <v>3633</v>
      </c>
      <c r="M189" s="69" t="s">
        <v>440</v>
      </c>
      <c r="N189" s="69" t="s">
        <v>830</v>
      </c>
      <c r="O189" s="70">
        <v>0.20780614905</v>
      </c>
      <c r="P189" s="70">
        <v>4.0220665199999998E-2</v>
      </c>
      <c r="Q189" s="70">
        <v>0.24761506733000005</v>
      </c>
    </row>
    <row r="190" spans="3:17" ht="85.5">
      <c r="C190" s="321" t="s">
        <v>811</v>
      </c>
      <c r="D190" s="322"/>
      <c r="E190" s="783"/>
      <c r="F190" s="325"/>
      <c r="G190" s="319" t="str">
        <f>IFERROR(IF(E190="","",IF(F190="Direct-from-manufacturer",(E190*H190/1000*'Reporting Year &amp; Inflation Adj.'!$F$9),(E190*I190/1000*'Reporting Year &amp; Inflation Adj.'!$F$9))),"")</f>
        <v/>
      </c>
      <c r="H190" s="790">
        <v>0.17359843200499997</v>
      </c>
      <c r="I190" s="793">
        <v>0.181695725255</v>
      </c>
      <c r="J190" s="324">
        <v>4.4125099009611264E-2</v>
      </c>
      <c r="K190" s="68">
        <v>336611</v>
      </c>
      <c r="L190" s="68" t="s">
        <v>3634</v>
      </c>
      <c r="M190" s="69" t="s">
        <v>440</v>
      </c>
      <c r="N190" s="69" t="s">
        <v>813</v>
      </c>
      <c r="O190" s="70">
        <v>0.18831353233000003</v>
      </c>
      <c r="P190" s="70">
        <v>8.2884800729999993E-3</v>
      </c>
      <c r="Q190" s="70">
        <v>0.19654816274</v>
      </c>
    </row>
    <row r="191" spans="3:17" ht="71.25">
      <c r="C191" s="321" t="s">
        <v>750</v>
      </c>
      <c r="D191" s="322"/>
      <c r="E191" s="783"/>
      <c r="F191" s="325"/>
      <c r="G191" s="319" t="str">
        <f>IFERROR(IF(E191="","",IF(F191="Direct-from-manufacturer",(E191*H191/1000*'Reporting Year &amp; Inflation Adj.'!$F$9),(E191*I191/1000*'Reporting Year &amp; Inflation Adj.'!$F$9))),"")</f>
        <v/>
      </c>
      <c r="H191" s="790">
        <v>5.0179844224999999E-2</v>
      </c>
      <c r="I191" s="793">
        <v>7.2443507439999999E-2</v>
      </c>
      <c r="J191" s="324">
        <v>0.30710196926102895</v>
      </c>
      <c r="K191" s="68">
        <v>334515</v>
      </c>
      <c r="L191" s="68" t="s">
        <v>3635</v>
      </c>
      <c r="M191" s="69" t="s">
        <v>440</v>
      </c>
      <c r="N191" s="69" t="s">
        <v>745</v>
      </c>
      <c r="O191" s="70">
        <v>5.5888787369999998E-2</v>
      </c>
      <c r="P191" s="70">
        <v>2.4269926989999992E-2</v>
      </c>
      <c r="Q191" s="70">
        <v>8.014884186E-2</v>
      </c>
    </row>
    <row r="192" spans="3:17" ht="42.75">
      <c r="C192" s="321" t="s">
        <v>849</v>
      </c>
      <c r="D192" s="322"/>
      <c r="E192" s="783"/>
      <c r="F192" s="325"/>
      <c r="G192" s="319" t="str">
        <f>IFERROR(IF(E192="","",IF(F192="Direct-from-manufacturer",(E192*H192/1000*'Reporting Year &amp; Inflation Adj.'!$F$9),(E192*I192/1000*'Reporting Year &amp; Inflation Adj.'!$F$9))),"")</f>
        <v/>
      </c>
      <c r="H192" s="790">
        <v>0.1502348379</v>
      </c>
      <c r="I192" s="793">
        <v>0.20550840404999995</v>
      </c>
      <c r="J192" s="324">
        <v>0.26750122784090596</v>
      </c>
      <c r="K192" s="68">
        <v>339950</v>
      </c>
      <c r="L192" s="68" t="s">
        <v>3636</v>
      </c>
      <c r="M192" s="69" t="s">
        <v>440</v>
      </c>
      <c r="N192" s="69" t="s">
        <v>845</v>
      </c>
      <c r="O192" s="70">
        <v>0.18868030039000003</v>
      </c>
      <c r="P192" s="70">
        <v>6.3338243379999992E-2</v>
      </c>
      <c r="Q192" s="70">
        <v>0.25110568018000001</v>
      </c>
    </row>
    <row r="193" spans="3:17" ht="42.75">
      <c r="C193" s="321" t="s">
        <v>762</v>
      </c>
      <c r="D193" s="322"/>
      <c r="E193" s="783"/>
      <c r="F193" s="325"/>
      <c r="G193" s="319" t="str">
        <f>IFERROR(IF(E193="","",IF(F193="Direct-from-manufacturer",(E193*H193/1000*'Reporting Year &amp; Inflation Adj.'!$F$9),(E193*I193/1000*'Reporting Year &amp; Inflation Adj.'!$F$9))),"")</f>
        <v/>
      </c>
      <c r="H193" s="790">
        <v>9.6044082635000028E-2</v>
      </c>
      <c r="I193" s="793">
        <v>0.14624881850000004</v>
      </c>
      <c r="J193" s="324">
        <v>0.33957151828204341</v>
      </c>
      <c r="K193" s="68">
        <v>335210</v>
      </c>
      <c r="L193" s="68" t="s">
        <v>3638</v>
      </c>
      <c r="M193" s="69" t="s">
        <v>440</v>
      </c>
      <c r="N193" s="69" t="s">
        <v>764</v>
      </c>
      <c r="O193" s="70">
        <v>0.10672150632999999</v>
      </c>
      <c r="P193" s="70">
        <v>5.1653949490000003E-2</v>
      </c>
      <c r="Q193" s="70">
        <v>0.15875794962000001</v>
      </c>
    </row>
    <row r="194" spans="3:17" ht="99.75">
      <c r="C194" s="321" t="s">
        <v>477</v>
      </c>
      <c r="D194" s="322"/>
      <c r="E194" s="783"/>
      <c r="F194" s="325"/>
      <c r="G194" s="319" t="str">
        <f>IFERROR(IF(E194="","",IF(F194="Direct-from-manufacturer",(E194*H194/1000*'Reporting Year &amp; Inflation Adj.'!$F$9),(E194*I194/1000*'Reporting Year &amp; Inflation Adj.'!$F$9))),"")</f>
        <v/>
      </c>
      <c r="H194" s="790">
        <v>0.25900447280000005</v>
      </c>
      <c r="I194" s="793">
        <v>0.29359258725000004</v>
      </c>
      <c r="J194" s="324">
        <v>0.12041202545722654</v>
      </c>
      <c r="K194" s="68">
        <v>311910</v>
      </c>
      <c r="L194" s="68" t="s">
        <v>3639</v>
      </c>
      <c r="M194" s="69" t="s">
        <v>440</v>
      </c>
      <c r="N194" s="69" t="s">
        <v>479</v>
      </c>
      <c r="O194" s="70">
        <v>0.33439815518999999</v>
      </c>
      <c r="P194" s="70">
        <v>4.3979837639999998E-2</v>
      </c>
      <c r="Q194" s="70">
        <v>0.37825934170999997</v>
      </c>
    </row>
    <row r="195" spans="3:17" ht="57">
      <c r="C195" s="321" t="s">
        <v>573</v>
      </c>
      <c r="D195" s="322"/>
      <c r="E195" s="783"/>
      <c r="F195" s="325"/>
      <c r="G195" s="319" t="str">
        <f>IFERROR(IF(E195="","",IF(F195="Direct-from-manufacturer",(E195*H195/1000*'Reporting Year &amp; Inflation Adj.'!$F$9),(E195*I195/1000*'Reporting Year &amp; Inflation Adj.'!$F$9))),"")</f>
        <v/>
      </c>
      <c r="H195" s="790">
        <v>0.2559034811</v>
      </c>
      <c r="I195" s="793">
        <v>0.2912554255</v>
      </c>
      <c r="J195" s="324">
        <v>0.12186325636361409</v>
      </c>
      <c r="K195" s="68">
        <v>325610</v>
      </c>
      <c r="L195" s="68" t="s">
        <v>3640</v>
      </c>
      <c r="M195" s="69" t="s">
        <v>440</v>
      </c>
      <c r="N195" s="69" t="s">
        <v>575</v>
      </c>
      <c r="O195" s="70">
        <v>0.32500165347999999</v>
      </c>
      <c r="P195" s="70">
        <v>4.0063292020000002E-2</v>
      </c>
      <c r="Q195" s="70">
        <v>0.3653817417200001</v>
      </c>
    </row>
    <row r="196" spans="3:17" ht="42.75">
      <c r="C196" s="321" t="s">
        <v>484</v>
      </c>
      <c r="D196" s="322"/>
      <c r="E196" s="783"/>
      <c r="F196" s="325"/>
      <c r="G196" s="319" t="str">
        <f>IFERROR(IF(E196="","",IF(F196="Direct-from-manufacturer",(E196*H196/1000*'Reporting Year &amp; Inflation Adj.'!$F$9),(E196*I196/1000*'Reporting Year &amp; Inflation Adj.'!$F$9))),"")</f>
        <v/>
      </c>
      <c r="H196" s="790">
        <v>0.13692032611000002</v>
      </c>
      <c r="I196" s="793">
        <v>0.17012560599999996</v>
      </c>
      <c r="J196" s="324">
        <v>0.19458438937169761</v>
      </c>
      <c r="K196" s="68">
        <v>312110</v>
      </c>
      <c r="L196" s="68" t="s">
        <v>3641</v>
      </c>
      <c r="M196" s="69" t="s">
        <v>440</v>
      </c>
      <c r="N196" s="69" t="s">
        <v>486</v>
      </c>
      <c r="O196" s="70">
        <v>0.17481235582000001</v>
      </c>
      <c r="P196" s="70">
        <v>4.2216654900000004E-2</v>
      </c>
      <c r="Q196" s="70">
        <v>0.21651435390000007</v>
      </c>
    </row>
    <row r="197" spans="3:17" ht="71.25">
      <c r="C197" s="321" t="s">
        <v>910</v>
      </c>
      <c r="D197" s="322"/>
      <c r="E197" s="783"/>
      <c r="F197" s="325"/>
      <c r="G197" s="319" t="str">
        <f>IFERROR(IF(E197="","",IF(F197="Direct-from-manufacturer",(E197*H197/1000*'Reporting Year &amp; Inflation Adj.'!$F$9),(E197*I197/1000*'Reporting Year &amp; Inflation Adj.'!$F$9))),"")</f>
        <v/>
      </c>
      <c r="H197" s="790">
        <v>3.2579004410000001E-2</v>
      </c>
      <c r="I197" s="793">
        <v>7.4173864955000002E-2</v>
      </c>
      <c r="J197" s="324">
        <v>0.56113050641558015</v>
      </c>
      <c r="K197" s="68">
        <v>511200</v>
      </c>
      <c r="L197" s="68" t="s">
        <v>3642</v>
      </c>
      <c r="M197" s="69" t="s">
        <v>904</v>
      </c>
      <c r="N197" s="69" t="s">
        <v>912</v>
      </c>
      <c r="O197" s="70">
        <v>3.5854920470000003E-2</v>
      </c>
      <c r="P197" s="70">
        <v>4.5433523160000003E-2</v>
      </c>
      <c r="Q197" s="70">
        <v>8.1184150829999982E-2</v>
      </c>
    </row>
    <row r="198" spans="3:17" ht="28.5">
      <c r="C198" s="321" t="s">
        <v>916</v>
      </c>
      <c r="D198" s="322"/>
      <c r="E198" s="783"/>
      <c r="F198" s="325"/>
      <c r="G198" s="319" t="str">
        <f>IFERROR(IF(E198="","",IF(F198="Direct-from-manufacturer",(E198*H198/1000*'Reporting Year &amp; Inflation Adj.'!$F$9),(E198*I198/1000*'Reporting Year &amp; Inflation Adj.'!$F$9))),"")</f>
        <v/>
      </c>
      <c r="H198" s="790">
        <v>2.3915154050000002E-2</v>
      </c>
      <c r="I198" s="793">
        <v>4.0206235659999999E-2</v>
      </c>
      <c r="J198" s="324">
        <v>0.40533022695315912</v>
      </c>
      <c r="K198" s="68">
        <v>512200</v>
      </c>
      <c r="L198" s="68" t="s">
        <v>3643</v>
      </c>
      <c r="M198" s="69" t="s">
        <v>904</v>
      </c>
      <c r="N198" s="69" t="s">
        <v>918</v>
      </c>
      <c r="O198" s="70">
        <v>2.6393777782000007E-2</v>
      </c>
      <c r="P198" s="70">
        <v>1.8227289521000001E-2</v>
      </c>
      <c r="Q198" s="70">
        <v>4.4635745090000012E-2</v>
      </c>
    </row>
    <row r="199" spans="3:17" ht="42.75">
      <c r="C199" s="321" t="s">
        <v>703</v>
      </c>
      <c r="D199" s="322"/>
      <c r="E199" s="783"/>
      <c r="F199" s="325"/>
      <c r="G199" s="319" t="str">
        <f>IFERROR(IF(E199="","",IF(F199="Direct-from-manufacturer",(E199*H199/1000*'Reporting Year &amp; Inflation Adj.'!$F$9),(E199*I199/1000*'Reporting Year &amp; Inflation Adj.'!$F$9))),"")</f>
        <v/>
      </c>
      <c r="H199" s="790">
        <v>0.16208735524000004</v>
      </c>
      <c r="I199" s="793">
        <v>0.18571072511000006</v>
      </c>
      <c r="J199" s="324">
        <v>0.12615173986921491</v>
      </c>
      <c r="K199" s="68">
        <v>333514</v>
      </c>
      <c r="L199" s="68" t="s">
        <v>3644</v>
      </c>
      <c r="M199" s="69" t="s">
        <v>440</v>
      </c>
      <c r="N199" s="69" t="s">
        <v>702</v>
      </c>
      <c r="O199" s="70">
        <v>0.18490337550000002</v>
      </c>
      <c r="P199" s="70">
        <v>2.5839105580000004E-2</v>
      </c>
      <c r="Q199" s="70">
        <v>0.21124523005999998</v>
      </c>
    </row>
    <row r="200" spans="3:17" ht="57">
      <c r="C200" s="321" t="s">
        <v>765</v>
      </c>
      <c r="D200" s="322"/>
      <c r="E200" s="783"/>
      <c r="F200" s="325"/>
      <c r="G200" s="319" t="str">
        <f>IFERROR(IF(E200="","",IF(F200="Direct-from-manufacturer",(E200*H200/1000*'Reporting Year &amp; Inflation Adj.'!$F$9),(E200*I200/1000*'Reporting Year &amp; Inflation Adj.'!$F$9))),"")</f>
        <v/>
      </c>
      <c r="H200" s="790">
        <v>9.9984565235000003E-2</v>
      </c>
      <c r="I200" s="793">
        <v>0.11261668092499999</v>
      </c>
      <c r="J200" s="324">
        <v>0.11582294135170547</v>
      </c>
      <c r="K200" s="68">
        <v>335311</v>
      </c>
      <c r="L200" s="68" t="s">
        <v>3646</v>
      </c>
      <c r="M200" s="69" t="s">
        <v>440</v>
      </c>
      <c r="N200" s="69" t="s">
        <v>767</v>
      </c>
      <c r="O200" s="70">
        <v>0.11876676388</v>
      </c>
      <c r="P200" s="70">
        <v>1.5369218896999997E-2</v>
      </c>
      <c r="Q200" s="70">
        <v>0.13364481585999996</v>
      </c>
    </row>
    <row r="201" spans="3:17" ht="71.25">
      <c r="C201" s="321" t="s">
        <v>710</v>
      </c>
      <c r="D201" s="322"/>
      <c r="E201" s="783"/>
      <c r="F201" s="325"/>
      <c r="G201" s="319" t="str">
        <f>IFERROR(IF(E201="","",IF(F201="Direct-from-manufacturer",(E201*H201/1000*'Reporting Year &amp; Inflation Adj.'!$F$9),(E201*I201/1000*'Reporting Year &amp; Inflation Adj.'!$F$9))),"")</f>
        <v/>
      </c>
      <c r="H201" s="790">
        <v>0.13750313211500004</v>
      </c>
      <c r="I201" s="793">
        <v>0.15167449485499998</v>
      </c>
      <c r="J201" s="324">
        <v>9.2120638136012886E-2</v>
      </c>
      <c r="K201" s="68">
        <v>333612</v>
      </c>
      <c r="L201" s="68" t="s">
        <v>3647</v>
      </c>
      <c r="M201" s="69" t="s">
        <v>440</v>
      </c>
      <c r="N201" s="69" t="s">
        <v>709</v>
      </c>
      <c r="O201" s="70">
        <v>0.16449278955999999</v>
      </c>
      <c r="P201" s="70">
        <v>1.5745833661000002E-2</v>
      </c>
      <c r="Q201" s="70">
        <v>0.18016226941000002</v>
      </c>
    </row>
    <row r="202" spans="3:17" ht="42.75">
      <c r="C202" s="321" t="s">
        <v>846</v>
      </c>
      <c r="D202" s="322"/>
      <c r="E202" s="783"/>
      <c r="F202" s="325"/>
      <c r="G202" s="319" t="str">
        <f>IFERROR(IF(E202="","",IF(F202="Direct-from-manufacturer",(E202*H202/1000*'Reporting Year &amp; Inflation Adj.'!$F$9),(E202*I202/1000*'Reporting Year &amp; Inflation Adj.'!$F$9))),"")</f>
        <v/>
      </c>
      <c r="H202" s="790">
        <v>9.2296552665000003E-2</v>
      </c>
      <c r="I202" s="793">
        <v>0.15027903540000004</v>
      </c>
      <c r="J202" s="324">
        <v>0.38299411615733586</v>
      </c>
      <c r="K202" s="68">
        <v>339920</v>
      </c>
      <c r="L202" s="68" t="s">
        <v>3648</v>
      </c>
      <c r="M202" s="69" t="s">
        <v>440</v>
      </c>
      <c r="N202" s="69" t="s">
        <v>845</v>
      </c>
      <c r="O202" s="70">
        <v>0.10437189890000004</v>
      </c>
      <c r="P202" s="70">
        <v>6.4242298369999992E-2</v>
      </c>
      <c r="Q202" s="70">
        <v>0.16901058745</v>
      </c>
    </row>
    <row r="203" spans="3:17" ht="57">
      <c r="C203" s="321" t="s">
        <v>659</v>
      </c>
      <c r="D203" s="322"/>
      <c r="E203" s="783"/>
      <c r="F203" s="325"/>
      <c r="G203" s="319" t="str">
        <f>IFERROR(IF(E203="","",IF(F203="Direct-from-manufacturer",(E203*H203/1000*'Reporting Year &amp; Inflation Adj.'!$F$9),(E203*I203/1000*'Reporting Year &amp; Inflation Adj.'!$F$9))),"")</f>
        <v/>
      </c>
      <c r="H203" s="790">
        <v>0.19788211394500002</v>
      </c>
      <c r="I203" s="793">
        <v>0.21073330875500002</v>
      </c>
      <c r="J203" s="324">
        <v>6.1548484658774938E-2</v>
      </c>
      <c r="K203" s="68">
        <v>332600</v>
      </c>
      <c r="L203" s="68" t="s">
        <v>3650</v>
      </c>
      <c r="M203" s="69" t="s">
        <v>440</v>
      </c>
      <c r="N203" s="69" t="s">
        <v>661</v>
      </c>
      <c r="O203" s="70">
        <v>0.21969225398000003</v>
      </c>
      <c r="P203" s="70">
        <v>1.3756170960999998E-2</v>
      </c>
      <c r="Q203" s="70">
        <v>0.23385933550999999</v>
      </c>
    </row>
    <row r="204" spans="3:17" ht="42.75">
      <c r="C204" s="321" t="s">
        <v>535</v>
      </c>
      <c r="D204" s="322"/>
      <c r="E204" s="783"/>
      <c r="F204" s="325"/>
      <c r="G204" s="319" t="str">
        <f>IFERROR(IF(E204="","",IF(F204="Direct-from-manufacturer",(E204*H204/1000*'Reporting Year &amp; Inflation Adj.'!$F$9),(E204*I204/1000*'Reporting Year &amp; Inflation Adj.'!$F$9))),"")</f>
        <v/>
      </c>
      <c r="H204" s="790">
        <v>0.23170521500500002</v>
      </c>
      <c r="I204" s="793">
        <v>0.26090053294999987</v>
      </c>
      <c r="J204" s="324">
        <v>0.10999648195620912</v>
      </c>
      <c r="K204" s="68">
        <v>322230</v>
      </c>
      <c r="L204" s="68" t="s">
        <v>3651</v>
      </c>
      <c r="M204" s="69" t="s">
        <v>440</v>
      </c>
      <c r="N204" s="69" t="s">
        <v>533</v>
      </c>
      <c r="O204" s="70">
        <v>0.26653690626999998</v>
      </c>
      <c r="P204" s="70">
        <v>3.1294839549999995E-2</v>
      </c>
      <c r="Q204" s="70">
        <v>0.29841902962000011</v>
      </c>
    </row>
    <row r="205" spans="3:17" ht="57">
      <c r="C205" s="321" t="s">
        <v>771</v>
      </c>
      <c r="D205" s="322"/>
      <c r="E205" s="783"/>
      <c r="F205" s="325"/>
      <c r="G205" s="319" t="str">
        <f>IFERROR(IF(E205="","",IF(F205="Direct-from-manufacturer",(E205*H205/1000*'Reporting Year &amp; Inflation Adj.'!$F$9),(E205*I205/1000*'Reporting Year &amp; Inflation Adj.'!$F$9))),"")</f>
        <v/>
      </c>
      <c r="H205" s="790">
        <v>0.24495941232500004</v>
      </c>
      <c r="I205" s="793">
        <v>0.26781332346999992</v>
      </c>
      <c r="J205" s="324">
        <v>8.7929973142795895E-2</v>
      </c>
      <c r="K205" s="68">
        <v>335911</v>
      </c>
      <c r="L205" s="68" t="s">
        <v>3652</v>
      </c>
      <c r="M205" s="69" t="s">
        <v>440</v>
      </c>
      <c r="N205" s="69" t="s">
        <v>773</v>
      </c>
      <c r="O205" s="70">
        <v>0.31302456237999998</v>
      </c>
      <c r="P205" s="70">
        <v>2.5879296299999997E-2</v>
      </c>
      <c r="Q205" s="70">
        <v>0.33830367888000007</v>
      </c>
    </row>
    <row r="206" spans="3:17" ht="57">
      <c r="C206" s="321" t="s">
        <v>450</v>
      </c>
      <c r="D206" s="322"/>
      <c r="E206" s="783"/>
      <c r="F206" s="325"/>
      <c r="G206" s="319" t="str">
        <f>IFERROR(IF(E206="","",IF(F206="Direct-from-manufacturer",(E206*H206/1000*'Reporting Year &amp; Inflation Adj.'!$F$9),(E206*I206/1000*'Reporting Year &amp; Inflation Adj.'!$F$9))),"")</f>
        <v/>
      </c>
      <c r="H206" s="790">
        <v>0.33055147623000003</v>
      </c>
      <c r="I206" s="793">
        <v>0.36099195298000009</v>
      </c>
      <c r="J206" s="324">
        <v>8.4337012483729032E-2</v>
      </c>
      <c r="K206" s="68">
        <v>311300</v>
      </c>
      <c r="L206" s="68" t="s">
        <v>3653</v>
      </c>
      <c r="M206" s="69" t="s">
        <v>440</v>
      </c>
      <c r="N206" s="69" t="s">
        <v>452</v>
      </c>
      <c r="O206" s="70">
        <v>0.44729847981000004</v>
      </c>
      <c r="P206" s="70">
        <v>4.031134351E-2</v>
      </c>
      <c r="Q206" s="70">
        <v>0.4876606376</v>
      </c>
    </row>
    <row r="207" spans="3:17" ht="71.25">
      <c r="C207" s="321" t="s">
        <v>836</v>
      </c>
      <c r="D207" s="322"/>
      <c r="E207" s="783"/>
      <c r="F207" s="325"/>
      <c r="G207" s="319" t="str">
        <f>IFERROR(IF(E207="","",IF(F207="Direct-from-manufacturer",(E207*H207/1000*'Reporting Year &amp; Inflation Adj.'!$F$9),(E207*I207/1000*'Reporting Year &amp; Inflation Adj.'!$F$9))),"")</f>
        <v/>
      </c>
      <c r="H207" s="790">
        <v>0.10288027978999999</v>
      </c>
      <c r="I207" s="793">
        <v>0.13594991909999998</v>
      </c>
      <c r="J207" s="324">
        <v>0.2425174100011657</v>
      </c>
      <c r="K207" s="68">
        <v>339112</v>
      </c>
      <c r="L207" s="68" t="s">
        <v>3654</v>
      </c>
      <c r="M207" s="69" t="s">
        <v>440</v>
      </c>
      <c r="N207" s="69" t="s">
        <v>838</v>
      </c>
      <c r="O207" s="70">
        <v>0.12011926065999999</v>
      </c>
      <c r="P207" s="70">
        <v>3.7060093000000002E-2</v>
      </c>
      <c r="Q207" s="70">
        <v>0.15715856869000003</v>
      </c>
    </row>
    <row r="208" spans="3:17" ht="57">
      <c r="C208" s="321" t="s">
        <v>839</v>
      </c>
      <c r="D208" s="322"/>
      <c r="E208" s="783"/>
      <c r="F208" s="325"/>
      <c r="G208" s="319" t="str">
        <f>IFERROR(IF(E208="","",IF(F208="Direct-from-manufacturer",(E208*H208/1000*'Reporting Year &amp; Inflation Adj.'!$F$9),(E208*I208/1000*'Reporting Year &amp; Inflation Adj.'!$F$9))),"")</f>
        <v/>
      </c>
      <c r="H208" s="790">
        <v>8.2925477965000008E-2</v>
      </c>
      <c r="I208" s="793">
        <v>0.12213769005000001</v>
      </c>
      <c r="J208" s="324">
        <v>0.32172793958125123</v>
      </c>
      <c r="K208" s="68">
        <v>339113</v>
      </c>
      <c r="L208" s="68" t="s">
        <v>3655</v>
      </c>
      <c r="M208" s="69" t="s">
        <v>440</v>
      </c>
      <c r="N208" s="69" t="s">
        <v>838</v>
      </c>
      <c r="O208" s="70">
        <v>9.6384911100000012E-2</v>
      </c>
      <c r="P208" s="70">
        <v>4.5074250099999991E-2</v>
      </c>
      <c r="Q208" s="70">
        <v>0.14194901230000004</v>
      </c>
    </row>
    <row r="209" spans="3:17" ht="42.75">
      <c r="C209" s="321" t="s">
        <v>769</v>
      </c>
      <c r="D209" s="322"/>
      <c r="E209" s="783"/>
      <c r="F209" s="325"/>
      <c r="G209" s="319" t="str">
        <f>IFERROR(IF(E209="","",IF(F209="Direct-from-manufacturer",(E209*H209/1000*'Reporting Year &amp; Inflation Adj.'!$F$9),(E209*I209/1000*'Reporting Year &amp; Inflation Adj.'!$F$9))),"")</f>
        <v/>
      </c>
      <c r="H209" s="790">
        <v>0.122893018975</v>
      </c>
      <c r="I209" s="793">
        <v>0.13984351550499999</v>
      </c>
      <c r="J209" s="324">
        <v>0.11911009924092227</v>
      </c>
      <c r="K209" s="68">
        <v>335313</v>
      </c>
      <c r="L209" s="68" t="s">
        <v>3656</v>
      </c>
      <c r="M209" s="69" t="s">
        <v>440</v>
      </c>
      <c r="N209" s="69" t="s">
        <v>767</v>
      </c>
      <c r="O209" s="70">
        <v>0.15367667088999998</v>
      </c>
      <c r="P209" s="70">
        <v>2.130306526E-2</v>
      </c>
      <c r="Q209" s="70">
        <v>0.17456636504000003</v>
      </c>
    </row>
    <row r="210" spans="3:17" ht="28.5">
      <c r="C210" s="321" t="s">
        <v>552</v>
      </c>
      <c r="D210" s="322"/>
      <c r="E210" s="783"/>
      <c r="F210" s="325"/>
      <c r="G210" s="319" t="str">
        <f>IFERROR(IF(E210="","",IF(F210="Direct-from-manufacturer",(E210*H210/1000*'Reporting Year &amp; Inflation Adj.'!$F$9),(E210*I210/1000*'Reporting Year &amp; Inflation Adj.'!$F$9))),"")</f>
        <v/>
      </c>
      <c r="H210" s="790">
        <v>0.40333042213999998</v>
      </c>
      <c r="I210" s="793">
        <v>0.43103038791000009</v>
      </c>
      <c r="J210" s="324">
        <v>6.4939149338687732E-2</v>
      </c>
      <c r="K210" s="68">
        <v>325130</v>
      </c>
      <c r="L210" s="68" t="s">
        <v>3657</v>
      </c>
      <c r="M210" s="69" t="s">
        <v>440</v>
      </c>
      <c r="N210" s="69" t="s">
        <v>550</v>
      </c>
      <c r="O210" s="70">
        <v>0.40761407405000005</v>
      </c>
      <c r="P210" s="70">
        <v>2.6787533034E-2</v>
      </c>
      <c r="Q210" s="70">
        <v>0.43459764584000005</v>
      </c>
    </row>
    <row r="211" spans="3:17" ht="99.75">
      <c r="C211" s="321" t="s">
        <v>557</v>
      </c>
      <c r="D211" s="322"/>
      <c r="E211" s="783"/>
      <c r="F211" s="325"/>
      <c r="G211" s="319" t="str">
        <f>IFERROR(IF(E211="","",IF(F211="Direct-from-manufacturer",(E211*H211/1000*'Reporting Year &amp; Inflation Adj.'!$F$9),(E211*I211/1000*'Reporting Year &amp; Inflation Adj.'!$F$9))),"")</f>
        <v/>
      </c>
      <c r="H211" s="790">
        <v>0.83536685813000022</v>
      </c>
      <c r="I211" s="793">
        <v>0.85307943721000012</v>
      </c>
      <c r="J211" s="324">
        <v>2.0736473642893986E-2</v>
      </c>
      <c r="K211" s="68" t="s">
        <v>558</v>
      </c>
      <c r="L211" s="68" t="s">
        <v>3658</v>
      </c>
      <c r="M211" s="69" t="s">
        <v>440</v>
      </c>
      <c r="N211" s="69" t="s">
        <v>556</v>
      </c>
      <c r="O211" s="70">
        <v>0.89095166134000015</v>
      </c>
      <c r="P211" s="70">
        <v>1.6541261334000003E-2</v>
      </c>
      <c r="Q211" s="70">
        <v>0.90779730602000008</v>
      </c>
    </row>
    <row r="212" spans="3:17" ht="85.5">
      <c r="C212" s="321" t="s">
        <v>729</v>
      </c>
      <c r="D212" s="322"/>
      <c r="E212" s="783"/>
      <c r="F212" s="325"/>
      <c r="G212" s="319" t="str">
        <f>IFERROR(IF(E212="","",IF(F212="Direct-from-manufacturer",(E212*H212/1000*'Reporting Year &amp; Inflation Adj.'!$F$9),(E212*I212/1000*'Reporting Year &amp; Inflation Adj.'!$F$9))),"")</f>
        <v/>
      </c>
      <c r="H212" s="790">
        <v>4.4794109530000001E-2</v>
      </c>
      <c r="I212" s="793">
        <v>8.4881299135000018E-2</v>
      </c>
      <c r="J212" s="324">
        <v>0.47229842513649228</v>
      </c>
      <c r="K212" s="68">
        <v>334210</v>
      </c>
      <c r="L212" s="68" t="s">
        <v>3660</v>
      </c>
      <c r="M212" s="69" t="s">
        <v>440</v>
      </c>
      <c r="N212" s="69" t="s">
        <v>731</v>
      </c>
      <c r="O212" s="70">
        <v>5.1110053150000008E-2</v>
      </c>
      <c r="P212" s="70">
        <v>4.5972486780000016E-2</v>
      </c>
      <c r="Q212" s="70">
        <v>9.7087003930000013E-2</v>
      </c>
    </row>
    <row r="213" spans="3:17" ht="28.5">
      <c r="C213" s="321" t="s">
        <v>490</v>
      </c>
      <c r="D213" s="322"/>
      <c r="E213" s="783"/>
      <c r="F213" s="325"/>
      <c r="G213" s="319" t="str">
        <f>IFERROR(IF(E213="","",IF(F213="Direct-from-manufacturer",(E213*H213/1000*'Reporting Year &amp; Inflation Adj.'!$F$9),(E213*I213/1000*'Reporting Year &amp; Inflation Adj.'!$F$9))),"")</f>
        <v/>
      </c>
      <c r="H213" s="790">
        <v>4.2463721194999991E-2</v>
      </c>
      <c r="I213" s="793">
        <v>7.7916650829999989E-2</v>
      </c>
      <c r="J213" s="324">
        <v>0.45506456004328244</v>
      </c>
      <c r="K213" s="68">
        <v>312200</v>
      </c>
      <c r="L213" s="68" t="s">
        <v>3662</v>
      </c>
      <c r="M213" s="69" t="s">
        <v>440</v>
      </c>
      <c r="N213" s="69" t="s">
        <v>492</v>
      </c>
      <c r="O213" s="70">
        <v>5.5884124348999989E-2</v>
      </c>
      <c r="P213" s="70">
        <v>4.6046203019999989E-2</v>
      </c>
      <c r="Q213" s="70">
        <v>0.10183397416999998</v>
      </c>
    </row>
    <row r="214" spans="3:17" ht="57">
      <c r="C214" s="321" t="s">
        <v>576</v>
      </c>
      <c r="D214" s="322"/>
      <c r="E214" s="783"/>
      <c r="F214" s="325"/>
      <c r="G214" s="319" t="str">
        <f>IFERROR(IF(E214="","",IF(F214="Direct-from-manufacturer",(E214*H214/1000*'Reporting Year &amp; Inflation Adj.'!$F$9),(E214*I214/1000*'Reporting Year &amp; Inflation Adj.'!$F$9))),"")</f>
        <v/>
      </c>
      <c r="H214" s="790">
        <v>0.12160752143999999</v>
      </c>
      <c r="I214" s="793">
        <v>0.17445835138000002</v>
      </c>
      <c r="J214" s="324">
        <v>0.29832199873675086</v>
      </c>
      <c r="K214" s="68">
        <v>325620</v>
      </c>
      <c r="L214" s="68" t="s">
        <v>3664</v>
      </c>
      <c r="M214" s="69" t="s">
        <v>440</v>
      </c>
      <c r="N214" s="69" t="s">
        <v>575</v>
      </c>
      <c r="O214" s="70">
        <v>0.13675569884000005</v>
      </c>
      <c r="P214" s="70">
        <v>5.8662337269999996E-2</v>
      </c>
      <c r="Q214" s="70">
        <v>0.19558050494999998</v>
      </c>
    </row>
    <row r="215" spans="3:17" ht="30">
      <c r="C215" s="321" t="s">
        <v>796</v>
      </c>
      <c r="D215" s="322"/>
      <c r="E215" s="783"/>
      <c r="F215" s="325"/>
      <c r="G215" s="319" t="str">
        <f>IFERROR(IF(E215="","",IF(F215="Direct-from-manufacturer",(E215*H215/1000*'Reporting Year &amp; Inflation Adj.'!$F$9),(E215*I215/1000*'Reporting Year &amp; Inflation Adj.'!$F$9))),"")</f>
        <v/>
      </c>
      <c r="H215" s="790">
        <v>0.20609815434500001</v>
      </c>
      <c r="I215" s="793">
        <v>0.23105709349500003</v>
      </c>
      <c r="J215" s="324">
        <v>0.10623749342078168</v>
      </c>
      <c r="K215" s="68">
        <v>336350</v>
      </c>
      <c r="L215" s="68" t="s">
        <v>3665</v>
      </c>
      <c r="M215" s="69" t="s">
        <v>440</v>
      </c>
      <c r="N215" s="69" t="s">
        <v>792</v>
      </c>
      <c r="O215" s="70">
        <v>0.22724334094999996</v>
      </c>
      <c r="P215" s="70">
        <v>2.694825792E-2</v>
      </c>
      <c r="Q215" s="70">
        <v>0.25363583119000005</v>
      </c>
    </row>
    <row r="216" spans="3:17" ht="85.5">
      <c r="C216" s="321" t="s">
        <v>789</v>
      </c>
      <c r="D216" s="322"/>
      <c r="E216" s="783"/>
      <c r="F216" s="325"/>
      <c r="G216" s="319" t="str">
        <f>IFERROR(IF(E216="","",IF(F216="Direct-from-manufacturer",(E216*H216/1000*'Reporting Year &amp; Inflation Adj.'!$F$9),(E216*I216/1000*'Reporting Year &amp; Inflation Adj.'!$F$9))),"")</f>
        <v/>
      </c>
      <c r="H216" s="790">
        <v>0.12330126315499999</v>
      </c>
      <c r="I216" s="793">
        <v>0.15396649610999999</v>
      </c>
      <c r="J216" s="324">
        <v>0.20371627436784176</v>
      </c>
      <c r="K216" s="68">
        <v>336214</v>
      </c>
      <c r="L216" s="68" t="s">
        <v>3666</v>
      </c>
      <c r="M216" s="69" t="s">
        <v>440</v>
      </c>
      <c r="N216" s="69" t="s">
        <v>786</v>
      </c>
      <c r="O216" s="70">
        <v>0.12832459967999998</v>
      </c>
      <c r="P216" s="70">
        <v>3.3118057489999998E-2</v>
      </c>
      <c r="Q216" s="70">
        <v>0.16122923276999995</v>
      </c>
    </row>
    <row r="217" spans="3:17" ht="42.75">
      <c r="C217" s="321" t="s">
        <v>787</v>
      </c>
      <c r="D217" s="322"/>
      <c r="E217" s="783"/>
      <c r="F217" s="325"/>
      <c r="G217" s="319" t="str">
        <f>IFERROR(IF(E217="","",IF(F217="Direct-from-manufacturer",(E217*H217/1000*'Reporting Year &amp; Inflation Adj.'!$F$9),(E217*I217/1000*'Reporting Year &amp; Inflation Adj.'!$F$9))),"")</f>
        <v/>
      </c>
      <c r="H217" s="790">
        <v>0.17803496009500008</v>
      </c>
      <c r="I217" s="793">
        <v>0.191562193715</v>
      </c>
      <c r="J217" s="324">
        <v>7.3738436698085927E-2</v>
      </c>
      <c r="K217" s="68">
        <v>336212</v>
      </c>
      <c r="L217" s="68" t="s">
        <v>3667</v>
      </c>
      <c r="M217" s="69" t="s">
        <v>440</v>
      </c>
      <c r="N217" s="69" t="s">
        <v>786</v>
      </c>
      <c r="O217" s="70">
        <v>0.1868422435</v>
      </c>
      <c r="P217" s="70">
        <v>1.4850873255999998E-2</v>
      </c>
      <c r="Q217" s="70">
        <v>0.20160288692999995</v>
      </c>
    </row>
    <row r="218" spans="3:17" ht="71.25">
      <c r="C218" s="321" t="s">
        <v>707</v>
      </c>
      <c r="D218" s="322"/>
      <c r="E218" s="783"/>
      <c r="F218" s="325"/>
      <c r="G218" s="319" t="str">
        <f>IFERROR(IF(E218="","",IF(F218="Direct-from-manufacturer",(E218*H218/1000*'Reporting Year &amp; Inflation Adj.'!$F$9),(E218*I218/1000*'Reporting Year &amp; Inflation Adj.'!$F$9))),"")</f>
        <v/>
      </c>
      <c r="H218" s="790">
        <v>0.15272658064</v>
      </c>
      <c r="I218" s="793">
        <v>0.175080145385</v>
      </c>
      <c r="J218" s="324">
        <v>0.12365049867530414</v>
      </c>
      <c r="K218" s="68">
        <v>333611</v>
      </c>
      <c r="L218" s="68" t="s">
        <v>3668</v>
      </c>
      <c r="M218" s="69" t="s">
        <v>440</v>
      </c>
      <c r="N218" s="69" t="s">
        <v>709</v>
      </c>
      <c r="O218" s="70">
        <v>0.17814769991999999</v>
      </c>
      <c r="P218" s="70">
        <v>2.4136216280000001E-2</v>
      </c>
      <c r="Q218" s="70">
        <v>0.20219486679999998</v>
      </c>
    </row>
    <row r="219" spans="3:17" ht="185.25">
      <c r="C219" s="321" t="s">
        <v>369</v>
      </c>
      <c r="D219" s="322"/>
      <c r="E219" s="783"/>
      <c r="F219" s="325"/>
      <c r="G219" s="319" t="str">
        <f>IFERROR(IF(E219="","",IF(F219="Direct-from-manufacturer",(E219*H219/1000*'Reporting Year &amp; Inflation Adj.'!$F$9),(E219*I219/1000*'Reporting Year &amp; Inflation Adj.'!$F$9))),"")</f>
        <v/>
      </c>
      <c r="H219" s="790">
        <v>0.5873075376250001</v>
      </c>
      <c r="I219" s="793">
        <v>0.63673808096999995</v>
      </c>
      <c r="J219" s="324">
        <v>8.0266432262291507E-2</v>
      </c>
      <c r="K219" s="68">
        <v>211000</v>
      </c>
      <c r="L219" s="68" t="s">
        <v>3669</v>
      </c>
      <c r="M219" s="69" t="s">
        <v>371</v>
      </c>
      <c r="N219" s="69" t="s">
        <v>372</v>
      </c>
      <c r="O219" s="70">
        <v>0.39016657961400003</v>
      </c>
      <c r="P219" s="70">
        <v>2.8213200745E-2</v>
      </c>
      <c r="Q219" s="70">
        <v>0.41917318536599996</v>
      </c>
    </row>
    <row r="220" spans="3:17" ht="42.75">
      <c r="C220" s="321" t="s">
        <v>588</v>
      </c>
      <c r="D220" s="322"/>
      <c r="E220" s="783"/>
      <c r="F220" s="325"/>
      <c r="G220" s="319" t="str">
        <f>IFERROR(IF(E220="","",IF(F220="Direct-from-manufacturer",(E220*H220/1000*'Reporting Year &amp; Inflation Adj.'!$F$9),(E220*I220/1000*'Reporting Year &amp; Inflation Adj.'!$F$9))),"")</f>
        <v/>
      </c>
      <c r="H220" s="790">
        <v>0.30092099455000004</v>
      </c>
      <c r="I220" s="793">
        <v>0.34335698845000001</v>
      </c>
      <c r="J220" s="324">
        <v>0.12415796243858276</v>
      </c>
      <c r="K220" s="68">
        <v>326150</v>
      </c>
      <c r="L220" s="68" t="s">
        <v>3670</v>
      </c>
      <c r="M220" s="69" t="s">
        <v>440</v>
      </c>
      <c r="N220" s="69" t="s">
        <v>584</v>
      </c>
      <c r="O220" s="70">
        <v>0.32021988693000009</v>
      </c>
      <c r="P220" s="70">
        <v>4.2660458610000007E-2</v>
      </c>
      <c r="Q220" s="70">
        <v>0.36288634806999998</v>
      </c>
    </row>
    <row r="221" spans="3:17" ht="42.75">
      <c r="C221" s="321" t="s">
        <v>568</v>
      </c>
      <c r="D221" s="322"/>
      <c r="E221" s="783"/>
      <c r="F221" s="325"/>
      <c r="G221" s="319" t="str">
        <f>IFERROR(IF(E221="","",IF(F221="Direct-from-manufacturer",(E221*H221/1000*'Reporting Year &amp; Inflation Adj.'!$F$9),(E221*I221/1000*'Reporting Year &amp; Inflation Adj.'!$F$9))),"")</f>
        <v/>
      </c>
      <c r="H221" s="790">
        <v>0.120133297665</v>
      </c>
      <c r="I221" s="793">
        <v>0.14236750703500001</v>
      </c>
      <c r="J221" s="324">
        <v>0.15752006365108856</v>
      </c>
      <c r="K221" s="68">
        <v>325414</v>
      </c>
      <c r="L221" s="68" t="s">
        <v>3672</v>
      </c>
      <c r="M221" s="69" t="s">
        <v>440</v>
      </c>
      <c r="N221" s="69" t="s">
        <v>565</v>
      </c>
      <c r="O221" s="70">
        <v>0.12672107044</v>
      </c>
      <c r="P221" s="70">
        <v>2.4981266810000003E-2</v>
      </c>
      <c r="Q221" s="70">
        <v>0.15229795590999998</v>
      </c>
    </row>
    <row r="222" spans="3:17" ht="57">
      <c r="C222" s="321" t="s">
        <v>669</v>
      </c>
      <c r="D222" s="322"/>
      <c r="E222" s="783"/>
      <c r="F222" s="325"/>
      <c r="G222" s="319" t="str">
        <f>IFERROR(IF(E222="","",IF(F222="Direct-from-manufacturer",(E222*H222/1000*'Reporting Year &amp; Inflation Adj.'!$F$9),(E222*I222/1000*'Reporting Year &amp; Inflation Adj.'!$F$9))),"")</f>
        <v/>
      </c>
      <c r="H222" s="790">
        <v>0.11775819243000001</v>
      </c>
      <c r="I222" s="793">
        <v>0.13947618804499998</v>
      </c>
      <c r="J222" s="324">
        <v>0.15786914600717289</v>
      </c>
      <c r="K222" s="68" t="s">
        <v>670</v>
      </c>
      <c r="L222" s="68" t="s">
        <v>3343</v>
      </c>
      <c r="M222" s="69" t="s">
        <v>440</v>
      </c>
      <c r="N222" s="69" t="s">
        <v>671</v>
      </c>
      <c r="O222" s="70">
        <v>0.14749188716000003</v>
      </c>
      <c r="P222" s="70">
        <v>2.677316095E-2</v>
      </c>
      <c r="Q222" s="70">
        <v>0.17427236980000002</v>
      </c>
    </row>
    <row r="223" spans="3:17" ht="42.75">
      <c r="C223" s="321" t="s">
        <v>447</v>
      </c>
      <c r="D223" s="322"/>
      <c r="E223" s="783"/>
      <c r="F223" s="325"/>
      <c r="G223" s="319" t="str">
        <f>IFERROR(IF(E223="","",IF(F223="Direct-from-manufacturer",(E223*H223/1000*'Reporting Year &amp; Inflation Adj.'!$F$9),(E223*I223/1000*'Reporting Year &amp; Inflation Adj.'!$F$9))),"")</f>
        <v/>
      </c>
      <c r="H223" s="790">
        <v>0.54880636398000004</v>
      </c>
      <c r="I223" s="793">
        <v>0.58297055075000004</v>
      </c>
      <c r="J223" s="324">
        <v>6.0029923484089462E-2</v>
      </c>
      <c r="K223" s="68">
        <v>311224</v>
      </c>
      <c r="L223" s="68" t="s">
        <v>3673</v>
      </c>
      <c r="M223" s="69" t="s">
        <v>440</v>
      </c>
      <c r="N223" s="69" t="s">
        <v>445</v>
      </c>
      <c r="O223" s="70">
        <v>0.48947541996999999</v>
      </c>
      <c r="P223" s="70">
        <v>3.0651421640000003E-2</v>
      </c>
      <c r="Q223" s="70">
        <v>0.51941692100000003</v>
      </c>
    </row>
    <row r="224" spans="3:17" ht="42.75">
      <c r="C224" s="321" t="s">
        <v>784</v>
      </c>
      <c r="D224" s="322"/>
      <c r="E224" s="783"/>
      <c r="F224" s="325"/>
      <c r="G224" s="319" t="str">
        <f>IFERROR(IF(E224="","",IF(F224="Direct-from-manufacturer",(E224*H224/1000*'Reporting Year &amp; Inflation Adj.'!$F$9),(E224*I224/1000*'Reporting Year &amp; Inflation Adj.'!$F$9))),"")</f>
        <v/>
      </c>
      <c r="H224" s="790">
        <v>0.19185723220499995</v>
      </c>
      <c r="I224" s="793">
        <v>0.21597078885500001</v>
      </c>
      <c r="J224" s="324">
        <v>0.11161268576086854</v>
      </c>
      <c r="K224" s="68">
        <v>336211</v>
      </c>
      <c r="L224" s="68" t="s">
        <v>3674</v>
      </c>
      <c r="M224" s="69" t="s">
        <v>440</v>
      </c>
      <c r="N224" s="69" t="s">
        <v>786</v>
      </c>
      <c r="O224" s="70">
        <v>0.22592833542999999</v>
      </c>
      <c r="P224" s="70">
        <v>2.8341285469999998E-2</v>
      </c>
      <c r="Q224" s="70">
        <v>0.25398221707000002</v>
      </c>
    </row>
    <row r="225" spans="3:17" ht="57">
      <c r="C225" s="321" t="s">
        <v>793</v>
      </c>
      <c r="D225" s="322"/>
      <c r="E225" s="783"/>
      <c r="F225" s="325"/>
      <c r="G225" s="319" t="str">
        <f>IFERROR(IF(E225="","",IF(F225="Direct-from-manufacturer",(E225*H225/1000*'Reporting Year &amp; Inflation Adj.'!$F$9),(E225*I225/1000*'Reporting Year &amp; Inflation Adj.'!$F$9))),"")</f>
        <v/>
      </c>
      <c r="H225" s="790">
        <v>0.17483482284499999</v>
      </c>
      <c r="I225" s="793">
        <v>0.19971557660499994</v>
      </c>
      <c r="J225" s="324">
        <v>0.12213297868219131</v>
      </c>
      <c r="K225" s="68">
        <v>336320</v>
      </c>
      <c r="L225" s="68" t="s">
        <v>3675</v>
      </c>
      <c r="M225" s="69" t="s">
        <v>440</v>
      </c>
      <c r="N225" s="69" t="s">
        <v>792</v>
      </c>
      <c r="O225" s="70">
        <v>0.19220745401000003</v>
      </c>
      <c r="P225" s="70">
        <v>2.686895597E-2</v>
      </c>
      <c r="Q225" s="70">
        <v>0.21955621522000002</v>
      </c>
    </row>
    <row r="226" spans="3:17" ht="28.5">
      <c r="C226" s="321" t="s">
        <v>790</v>
      </c>
      <c r="D226" s="322"/>
      <c r="E226" s="783"/>
      <c r="F226" s="325"/>
      <c r="G226" s="319" t="str">
        <f>IFERROR(IF(E226="","",IF(F226="Direct-from-manufacturer",(E226*H226/1000*'Reporting Year &amp; Inflation Adj.'!$F$9),(E226*I226/1000*'Reporting Year &amp; Inflation Adj.'!$F$9))),"")</f>
        <v/>
      </c>
      <c r="H226" s="790">
        <v>0.22163554559000001</v>
      </c>
      <c r="I226" s="793">
        <v>0.24915151982499997</v>
      </c>
      <c r="J226" s="324">
        <v>0.11311540756321772</v>
      </c>
      <c r="K226" s="68">
        <v>336310</v>
      </c>
      <c r="L226" s="68" t="s">
        <v>3676</v>
      </c>
      <c r="M226" s="69" t="s">
        <v>440</v>
      </c>
      <c r="N226" s="69" t="s">
        <v>792</v>
      </c>
      <c r="O226" s="70">
        <v>0.23132118061000004</v>
      </c>
      <c r="P226" s="70">
        <v>2.9373836610000002E-2</v>
      </c>
      <c r="Q226" s="70">
        <v>0.26009876108000007</v>
      </c>
    </row>
    <row r="227" spans="3:17" ht="28.5">
      <c r="C227" s="321" t="s">
        <v>798</v>
      </c>
      <c r="D227" s="322"/>
      <c r="E227" s="783"/>
      <c r="F227" s="325"/>
      <c r="G227" s="319" t="str">
        <f>IFERROR(IF(E227="","",IF(F227="Direct-from-manufacturer",(E227*H227/1000*'Reporting Year &amp; Inflation Adj.'!$F$9),(E227*I227/1000*'Reporting Year &amp; Inflation Adj.'!$F$9))),"")</f>
        <v/>
      </c>
      <c r="H227" s="790">
        <v>0.42655841151499996</v>
      </c>
      <c r="I227" s="793">
        <v>0.44571347130999989</v>
      </c>
      <c r="J227" s="324">
        <v>4.1815571347263991E-2</v>
      </c>
      <c r="K227" s="68">
        <v>336370</v>
      </c>
      <c r="L227" s="68" t="s">
        <v>3677</v>
      </c>
      <c r="M227" s="69" t="s">
        <v>440</v>
      </c>
      <c r="N227" s="69" t="s">
        <v>792</v>
      </c>
      <c r="O227" s="70">
        <v>0.48484363152000004</v>
      </c>
      <c r="P227" s="70">
        <v>2.0429700119999998E-2</v>
      </c>
      <c r="Q227" s="70">
        <v>0.50545306074000007</v>
      </c>
    </row>
    <row r="228" spans="3:17" ht="30">
      <c r="C228" s="321" t="s">
        <v>797</v>
      </c>
      <c r="D228" s="322"/>
      <c r="E228" s="783"/>
      <c r="F228" s="325"/>
      <c r="G228" s="319" t="str">
        <f>IFERROR(IF(E228="","",IF(F228="Direct-from-manufacturer",(E228*H228/1000*'Reporting Year &amp; Inflation Adj.'!$F$9),(E228*I228/1000*'Reporting Year &amp; Inflation Adj.'!$F$9))),"")</f>
        <v/>
      </c>
      <c r="H228" s="790">
        <v>0.28953508265</v>
      </c>
      <c r="I228" s="793">
        <v>0.30752452029999999</v>
      </c>
      <c r="J228" s="324">
        <v>5.7801797260457345E-2</v>
      </c>
      <c r="K228" s="68">
        <v>336360</v>
      </c>
      <c r="L228" s="68" t="s">
        <v>3680</v>
      </c>
      <c r="M228" s="69" t="s">
        <v>440</v>
      </c>
      <c r="N228" s="69" t="s">
        <v>792</v>
      </c>
      <c r="O228" s="70">
        <v>0.31854248979999999</v>
      </c>
      <c r="P228" s="70">
        <v>1.8377405210000003E-2</v>
      </c>
      <c r="Q228" s="70">
        <v>0.33679329680000003</v>
      </c>
    </row>
    <row r="229" spans="3:17" ht="42.75">
      <c r="C229" s="321" t="s">
        <v>524</v>
      </c>
      <c r="D229" s="322"/>
      <c r="E229" s="783"/>
      <c r="F229" s="325"/>
      <c r="G229" s="319" t="str">
        <f>IFERROR(IF(E229="","",IF(F229="Direct-from-manufacturer",(E229*H229/1000*'Reporting Year &amp; Inflation Adj.'!$F$9),(E229*I229/1000*'Reporting Year &amp; Inflation Adj.'!$F$9))),"")</f>
        <v/>
      </c>
      <c r="H229" s="790">
        <v>0.14336990779999997</v>
      </c>
      <c r="I229" s="793">
        <v>0.17603291620000006</v>
      </c>
      <c r="J229" s="324">
        <v>0.18293489396842699</v>
      </c>
      <c r="K229" s="68" t="s">
        <v>525</v>
      </c>
      <c r="L229" s="68" t="s">
        <v>3682</v>
      </c>
      <c r="M229" s="69" t="s">
        <v>440</v>
      </c>
      <c r="N229" s="69" t="s">
        <v>523</v>
      </c>
      <c r="O229" s="70">
        <v>0.13663857592</v>
      </c>
      <c r="P229" s="70">
        <v>2.9346889169999994E-2</v>
      </c>
      <c r="Q229" s="70">
        <v>0.16520085732000001</v>
      </c>
    </row>
    <row r="230" spans="3:17" ht="71.25">
      <c r="C230" s="321" t="s">
        <v>753</v>
      </c>
      <c r="D230" s="322"/>
      <c r="E230" s="783"/>
      <c r="F230" s="325"/>
      <c r="G230" s="319" t="str">
        <f>IFERROR(IF(E230="","",IF(F230="Direct-from-manufacturer",(E230*H230/1000*'Reporting Year &amp; Inflation Adj.'!$F$9),(E230*I230/1000*'Reporting Year &amp; Inflation Adj.'!$F$9))),"")</f>
        <v/>
      </c>
      <c r="H230" s="790">
        <v>3.6458835505000002E-2</v>
      </c>
      <c r="I230" s="793">
        <v>7.1851503019999999E-2</v>
      </c>
      <c r="J230" s="324">
        <v>0.49102390669795071</v>
      </c>
      <c r="K230" s="68" t="s">
        <v>754</v>
      </c>
      <c r="L230" s="68" t="s">
        <v>3684</v>
      </c>
      <c r="M230" s="69" t="s">
        <v>440</v>
      </c>
      <c r="N230" s="69" t="s">
        <v>745</v>
      </c>
      <c r="O230" s="70">
        <v>4.4681087580000001E-2</v>
      </c>
      <c r="P230" s="70">
        <v>4.2588299699999999E-2</v>
      </c>
      <c r="Q230" s="70">
        <v>8.7381930999999996E-2</v>
      </c>
    </row>
    <row r="231" spans="3:17" ht="156.75">
      <c r="C231" s="321" t="s">
        <v>718</v>
      </c>
      <c r="D231" s="322"/>
      <c r="E231" s="783"/>
      <c r="F231" s="325"/>
      <c r="G231" s="319" t="str">
        <f>IFERROR(IF(E231="","",IF(F231="Direct-from-manufacturer",(E231*H231/1000*'Reporting Year &amp; Inflation Adj.'!$F$9),(E231*I231/1000*'Reporting Year &amp; Inflation Adj.'!$F$9))),"")</f>
        <v/>
      </c>
      <c r="H231" s="790">
        <v>0.19712561424</v>
      </c>
      <c r="I231" s="793">
        <v>0.21604474969000001</v>
      </c>
      <c r="J231" s="324">
        <v>8.7559182355245138E-2</v>
      </c>
      <c r="K231" s="68" t="s">
        <v>719</v>
      </c>
      <c r="L231" s="68" t="s">
        <v>3685</v>
      </c>
      <c r="M231" s="69" t="s">
        <v>440</v>
      </c>
      <c r="N231" s="69" t="s">
        <v>715</v>
      </c>
      <c r="O231" s="70">
        <v>0.22919756286000004</v>
      </c>
      <c r="P231" s="70">
        <v>2.1109887159999993E-2</v>
      </c>
      <c r="Q231" s="70">
        <v>0.25073325095999999</v>
      </c>
    </row>
    <row r="232" spans="3:17" ht="57">
      <c r="C232" s="321" t="s">
        <v>488</v>
      </c>
      <c r="D232" s="322"/>
      <c r="E232" s="783"/>
      <c r="F232" s="325"/>
      <c r="G232" s="319" t="str">
        <f>IFERROR(IF(E232="","",IF(F232="Direct-from-manufacturer",(E232*H232/1000*'Reporting Year &amp; Inflation Adj.'!$F$9),(E232*I232/1000*'Reporting Year &amp; Inflation Adj.'!$F$9))),"")</f>
        <v/>
      </c>
      <c r="H232" s="790">
        <v>0.10880258996999999</v>
      </c>
      <c r="I232" s="793">
        <v>0.15937550534</v>
      </c>
      <c r="J232" s="324">
        <v>0.31670775695624848</v>
      </c>
      <c r="K232" s="68">
        <v>312130</v>
      </c>
      <c r="L232" s="68" t="s">
        <v>3689</v>
      </c>
      <c r="M232" s="69" t="s">
        <v>440</v>
      </c>
      <c r="N232" s="69" t="s">
        <v>486</v>
      </c>
      <c r="O232" s="70">
        <v>0.12510304581999998</v>
      </c>
      <c r="P232" s="70">
        <v>5.9155324199999998E-2</v>
      </c>
      <c r="Q232" s="70">
        <v>0.18401687329999999</v>
      </c>
    </row>
    <row r="233" spans="3:17" ht="71.25">
      <c r="C233" s="321" t="s">
        <v>732</v>
      </c>
      <c r="D233" s="322"/>
      <c r="E233" s="783"/>
      <c r="F233" s="325"/>
      <c r="G233" s="319" t="str">
        <f>IFERROR(IF(E233="","",IF(F233="Direct-from-manufacturer",(E233*H233/1000*'Reporting Year &amp; Inflation Adj.'!$F$9),(E233*I233/1000*'Reporting Year &amp; Inflation Adj.'!$F$9))),"")</f>
        <v/>
      </c>
      <c r="H233" s="790">
        <v>6.1392066085000016E-2</v>
      </c>
      <c r="I233" s="793">
        <v>0.10554991586000002</v>
      </c>
      <c r="J233" s="324">
        <v>0.41829984842017276</v>
      </c>
      <c r="K233" s="68">
        <v>334220</v>
      </c>
      <c r="L233" s="68" t="s">
        <v>3690</v>
      </c>
      <c r="M233" s="69" t="s">
        <v>440</v>
      </c>
      <c r="N233" s="69" t="s">
        <v>731</v>
      </c>
      <c r="O233" s="70">
        <v>6.526158357999999E-2</v>
      </c>
      <c r="P233" s="70">
        <v>4.7206871920000004E-2</v>
      </c>
      <c r="Q233" s="70">
        <v>0.11245063555000001</v>
      </c>
    </row>
    <row r="234" spans="3:17" ht="57">
      <c r="C234" s="321" t="s">
        <v>776</v>
      </c>
      <c r="D234" s="322"/>
      <c r="E234" s="783"/>
      <c r="F234" s="325"/>
      <c r="G234" s="319" t="str">
        <f>IFERROR(IF(E234="","",IF(F234="Direct-from-manufacturer",(E234*H234/1000*'Reporting Year &amp; Inflation Adj.'!$F$9),(E234*I234/1000*'Reporting Year &amp; Inflation Adj.'!$F$9))),"")</f>
        <v/>
      </c>
      <c r="H234" s="790">
        <v>8.8791775555000008E-2</v>
      </c>
      <c r="I234" s="793">
        <v>0.11054253394999997</v>
      </c>
      <c r="J234" s="324">
        <v>0.20045300431617261</v>
      </c>
      <c r="K234" s="68">
        <v>335930</v>
      </c>
      <c r="L234" s="68" t="s">
        <v>3692</v>
      </c>
      <c r="M234" s="69" t="s">
        <v>440</v>
      </c>
      <c r="N234" s="69" t="s">
        <v>773</v>
      </c>
      <c r="O234" s="70">
        <v>0.10208873781</v>
      </c>
      <c r="P234" s="70">
        <v>2.5883109040000001E-2</v>
      </c>
      <c r="Q234" s="70">
        <v>0.12805501333999997</v>
      </c>
    </row>
    <row r="235" spans="3:17" ht="57">
      <c r="C235" s="321" t="s">
        <v>820</v>
      </c>
      <c r="D235" s="322"/>
      <c r="E235" s="783"/>
      <c r="F235" s="325"/>
      <c r="G235" s="319" t="str">
        <f>IFERROR(IF(E235="","",IF(F235="Direct-from-manufacturer",(E235*H235/1000*'Reporting Year &amp; Inflation Adj.'!$F$9),(E235*I235/1000*'Reporting Year &amp; Inflation Adj.'!$F$9))),"")</f>
        <v/>
      </c>
      <c r="H235" s="790">
        <v>0.102323172495</v>
      </c>
      <c r="I235" s="793">
        <v>0.15078902886000001</v>
      </c>
      <c r="J235" s="324">
        <v>0.3216105045017929</v>
      </c>
      <c r="K235" s="68">
        <v>337110</v>
      </c>
      <c r="L235" s="68" t="s">
        <v>3693</v>
      </c>
      <c r="M235" s="69" t="s">
        <v>440</v>
      </c>
      <c r="N235" s="69" t="s">
        <v>822</v>
      </c>
      <c r="O235" s="70">
        <v>0.11435330217</v>
      </c>
      <c r="P235" s="70">
        <v>5.3064550119999998E-2</v>
      </c>
      <c r="Q235" s="70">
        <v>0.16738578498999998</v>
      </c>
    </row>
    <row r="236" spans="3:17" ht="42.75">
      <c r="C236" s="321" t="s">
        <v>526</v>
      </c>
      <c r="D236" s="322"/>
      <c r="E236" s="783"/>
      <c r="F236" s="325"/>
      <c r="G236" s="319" t="str">
        <f>IFERROR(IF(E236="","",IF(F236="Direct-from-manufacturer",(E236*H236/1000*'Reporting Year &amp; Inflation Adj.'!$F$9),(E236*I236/1000*'Reporting Year &amp; Inflation Adj.'!$F$9))),"")</f>
        <v/>
      </c>
      <c r="H236" s="790">
        <v>0.91189642608999999</v>
      </c>
      <c r="I236" s="793">
        <v>0.93909770080999999</v>
      </c>
      <c r="J236" s="324">
        <v>2.8854008125169781E-2</v>
      </c>
      <c r="K236" s="68">
        <v>322110</v>
      </c>
      <c r="L236" s="68" t="s">
        <v>3694</v>
      </c>
      <c r="M236" s="69" t="s">
        <v>440</v>
      </c>
      <c r="N236" s="69" t="s">
        <v>528</v>
      </c>
      <c r="O236" s="70">
        <v>0.98113822890000013</v>
      </c>
      <c r="P236" s="70">
        <v>2.4952683509899997E-2</v>
      </c>
      <c r="Q236" s="70">
        <v>1.00626725952</v>
      </c>
    </row>
    <row r="237" spans="3:17" ht="71.25">
      <c r="C237" s="794" t="s">
        <v>521</v>
      </c>
      <c r="D237" s="786"/>
      <c r="E237" s="787"/>
      <c r="F237" s="788"/>
      <c r="G237" s="792" t="str">
        <f>IFERROR(IF(E237="","",IF(F237="Direct-from-manufacturer",(E237*H237/1000*'Reporting Year &amp; Inflation Adj.'!$F$9),(E237*I237/1000*'Reporting Year &amp; Inflation Adj.'!$F$9))),"")</f>
        <v/>
      </c>
      <c r="H237" s="790">
        <v>0.12060881991</v>
      </c>
      <c r="I237" s="793">
        <v>0.15232747406500005</v>
      </c>
      <c r="J237" s="324">
        <v>0.21019690591952694</v>
      </c>
      <c r="K237" s="789">
        <v>321910</v>
      </c>
      <c r="L237" s="789" t="s">
        <v>3695</v>
      </c>
      <c r="M237" s="69" t="s">
        <v>440</v>
      </c>
      <c r="N237" s="69" t="s">
        <v>523</v>
      </c>
      <c r="O237" s="785">
        <v>0.12353465661</v>
      </c>
      <c r="P237" s="785">
        <v>3.1691942410000007E-2</v>
      </c>
      <c r="Q237" s="785">
        <v>0.15544251344000007</v>
      </c>
    </row>
  </sheetData>
  <sheetProtection algorithmName="SHA-512" hashValue="nb9HMPAJs5hCK/ZQCLvOeGL4trhN+1bj+sRHRDbOnF5miEyD2exL45vZbyW9KdQw2SJxkeleWlf2ENPbsTyE6w==" saltValue="uR75M+0McxnQYa+0i8WJCg==" spinCount="100000" sheet="1" autoFilter="0"/>
  <mergeCells count="2">
    <mergeCell ref="A7:M8"/>
    <mergeCell ref="A16:B17"/>
  </mergeCells>
  <phoneticPr fontId="196" type="noConversion"/>
  <dataValidations count="2">
    <dataValidation allowBlank="1" showInputMessage="1" showErrorMessage="1" prompt="Add total annual volume of water usage in gallons" sqref="D30:E30" xr:uid="{039A11C2-E553-44E1-9750-3A49F29E23E0}"/>
    <dataValidation type="list" allowBlank="1" showInputMessage="1" showErrorMessage="1" sqref="F49:F50 F55:F58 F64:F67 F69:F70 F72 F77 F79 F83:F85 F96 F98 F100 F103:F104 F107:F109 F111:F113 F119:F120 F123:F127 F133:F136 F138:F139 F143:F147 F149:F151 F153:F154 F157:F158 F160 F162:F172 F174 F176:F179 F181 F184 F186 F190:F198 F200 F203:F204 F206 F208:F209 F212:F213 F216:F218 F220:F226 F228 F230 F232 F19:F40 F44 F53 F60:F62 F74 F87:F91 F234:F237" xr:uid="{77CD4920-1030-456D-86A9-C9C5CA8929EF}">
      <formula1>"Wholesaler / Retailer / Distributer, Direct-from-manufacturer"</formula1>
    </dataValidation>
  </dataValidations>
  <pageMargins left="0.7" right="0.7" top="0.75" bottom="0.75" header="0.3" footer="0.3"/>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174DD8-D32D-47AA-B126-76AF9DBE1152}">
  <sheetPr codeName="Sheet20">
    <tabColor theme="7"/>
  </sheetPr>
  <dimension ref="B2:L86"/>
  <sheetViews>
    <sheetView showGridLines="0" workbookViewId="0"/>
  </sheetViews>
  <sheetFormatPr defaultColWidth="9" defaultRowHeight="15.75"/>
  <cols>
    <col min="1" max="16384" width="9" style="182"/>
  </cols>
  <sheetData>
    <row r="2" spans="2:2">
      <c r="B2" s="181" t="s">
        <v>1303</v>
      </c>
    </row>
    <row r="4" spans="2:2">
      <c r="B4" s="183" t="s">
        <v>1304</v>
      </c>
    </row>
    <row r="5" spans="2:2">
      <c r="B5" s="182" t="s">
        <v>1305</v>
      </c>
    </row>
    <row r="19" spans="2:2">
      <c r="B19" s="183" t="s">
        <v>1306</v>
      </c>
    </row>
    <row r="20" spans="2:2">
      <c r="B20" s="184" t="s">
        <v>1307</v>
      </c>
    </row>
    <row r="34" spans="2:12">
      <c r="B34" s="185" t="s">
        <v>1308</v>
      </c>
    </row>
    <row r="35" spans="2:12">
      <c r="B35" s="186" t="s">
        <v>1309</v>
      </c>
    </row>
    <row r="36" spans="2:12">
      <c r="B36" s="187" t="s">
        <v>1310</v>
      </c>
    </row>
    <row r="37" spans="2:12" ht="8.25" customHeight="1">
      <c r="B37" s="188"/>
    </row>
    <row r="38" spans="2:12">
      <c r="B38" s="187" t="s">
        <v>1311</v>
      </c>
    </row>
    <row r="39" spans="2:12">
      <c r="B39" s="187" t="s">
        <v>1312</v>
      </c>
    </row>
    <row r="40" spans="2:12">
      <c r="B40" s="187" t="s">
        <v>1313</v>
      </c>
    </row>
    <row r="43" spans="2:12">
      <c r="K43" s="189" t="s">
        <v>1314</v>
      </c>
    </row>
    <row r="47" spans="2:12">
      <c r="L47" s="189" t="s">
        <v>1315</v>
      </c>
    </row>
    <row r="56" spans="2:2">
      <c r="B56" s="190" t="s">
        <v>1316</v>
      </c>
    </row>
    <row r="57" spans="2:2">
      <c r="B57" s="191"/>
    </row>
    <row r="58" spans="2:2">
      <c r="B58" s="192" t="s">
        <v>1317</v>
      </c>
    </row>
    <row r="59" spans="2:2">
      <c r="B59" s="182" t="s">
        <v>1318</v>
      </c>
    </row>
    <row r="60" spans="2:2">
      <c r="B60" s="182" t="s">
        <v>1319</v>
      </c>
    </row>
    <row r="75" spans="2:2">
      <c r="B75" s="193" t="s">
        <v>1320</v>
      </c>
    </row>
    <row r="76" spans="2:2" ht="6" customHeight="1">
      <c r="B76" s="194"/>
    </row>
    <row r="77" spans="2:2">
      <c r="B77" s="193" t="s">
        <v>1321</v>
      </c>
    </row>
    <row r="78" spans="2:2">
      <c r="B78" s="194" t="s">
        <v>1322</v>
      </c>
    </row>
    <row r="79" spans="2:2">
      <c r="B79" s="195" t="s">
        <v>1323</v>
      </c>
    </row>
    <row r="82" spans="2:2">
      <c r="B82" s="196"/>
    </row>
    <row r="83" spans="2:2">
      <c r="B83" s="197"/>
    </row>
    <row r="84" spans="2:2">
      <c r="B84" s="197"/>
    </row>
    <row r="85" spans="2:2">
      <c r="B85" s="197"/>
    </row>
    <row r="86" spans="2:2">
      <c r="B86" s="197"/>
    </row>
  </sheetData>
  <sheetProtection algorithmName="SHA-512" hashValue="d6oSg8t8wbq4Z2spvQmrvvWyxuR+7GNXwiP5AeS8azrQ4nQwW+WHhJ1lvwmotBuwsE4P7rpVNK3DTClHCxi3Sw==" saltValue="+5tm2Wp2p90lvf79NIhuRw=="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9AF39-D0A4-41E0-A4DD-184ADB868203}">
  <sheetPr codeName="Sheet2">
    <tabColor rgb="FF94E494"/>
  </sheetPr>
  <dimension ref="A1:G40"/>
  <sheetViews>
    <sheetView zoomScale="80" zoomScaleNormal="80" workbookViewId="0">
      <pane xSplit="1" ySplit="3" topLeftCell="B4" activePane="bottomRight" state="frozen"/>
      <selection activeCell="C4" sqref="C4"/>
      <selection pane="topRight" activeCell="C4" sqref="C4"/>
      <selection pane="bottomLeft" activeCell="C4" sqref="C4"/>
      <selection pane="bottomRight" activeCell="C7" sqref="C7"/>
    </sheetView>
  </sheetViews>
  <sheetFormatPr defaultColWidth="10.5" defaultRowHeight="14.25"/>
  <cols>
    <col min="1" max="1" width="6.625" style="347" customWidth="1"/>
    <col min="2" max="2" width="25.625" style="6" customWidth="1"/>
    <col min="3" max="3" width="115.875" style="6" customWidth="1"/>
    <col min="4" max="4" width="15.125" style="6" bestFit="1" customWidth="1"/>
    <col min="5" max="5" width="13.625" style="348" customWidth="1"/>
    <col min="6" max="6" width="67.875" style="6" bestFit="1" customWidth="1"/>
    <col min="7" max="7" width="69" style="6" customWidth="1"/>
    <col min="8" max="16384" width="10.5" style="6"/>
  </cols>
  <sheetData>
    <row r="1" spans="1:7" ht="118.5" customHeight="1">
      <c r="A1" s="342"/>
      <c r="B1" s="343" t="s">
        <v>1736</v>
      </c>
      <c r="C1" s="344" t="s">
        <v>1737</v>
      </c>
      <c r="D1" s="345"/>
      <c r="E1" s="346"/>
    </row>
    <row r="2" spans="1:7" ht="6" customHeight="1"/>
    <row r="3" spans="1:7" s="353" customFormat="1" ht="12.75">
      <c r="A3" s="349" t="s">
        <v>1738</v>
      </c>
      <c r="B3" s="350" t="s">
        <v>1739</v>
      </c>
      <c r="C3" s="351" t="s">
        <v>1740</v>
      </c>
      <c r="D3" s="351"/>
      <c r="E3" s="352"/>
      <c r="F3" s="351"/>
      <c r="G3" s="351"/>
    </row>
    <row r="4" spans="1:7" ht="20.25">
      <c r="B4" s="354" t="s">
        <v>1741</v>
      </c>
    </row>
    <row r="5" spans="1:7" ht="20.25">
      <c r="B5" s="354"/>
    </row>
    <row r="6" spans="1:7" ht="20.25">
      <c r="B6" s="354"/>
    </row>
    <row r="7" spans="1:7" ht="27.95" customHeight="1">
      <c r="A7" s="355" t="s">
        <v>4359</v>
      </c>
      <c r="B7" s="357" t="s">
        <v>4360</v>
      </c>
      <c r="C7" s="358" t="s">
        <v>4413</v>
      </c>
    </row>
    <row r="8" spans="1:7" ht="27.95" customHeight="1">
      <c r="A8" s="355">
        <v>2.1</v>
      </c>
      <c r="B8" s="357" t="s">
        <v>4203</v>
      </c>
      <c r="C8" s="358" t="s">
        <v>3307</v>
      </c>
    </row>
    <row r="9" spans="1:7" ht="27.95" customHeight="1">
      <c r="A9" s="355">
        <v>2</v>
      </c>
      <c r="B9" s="357" t="s">
        <v>1742</v>
      </c>
      <c r="C9" s="358" t="s">
        <v>2917</v>
      </c>
    </row>
    <row r="10" spans="1:7">
      <c r="A10" s="355">
        <v>1.1000000000000001</v>
      </c>
      <c r="B10" s="357" t="s">
        <v>1743</v>
      </c>
      <c r="C10" s="356" t="s">
        <v>1744</v>
      </c>
    </row>
    <row r="11" spans="1:7">
      <c r="A11" s="355">
        <v>1</v>
      </c>
      <c r="B11" s="357" t="s">
        <v>1745</v>
      </c>
      <c r="C11" s="356" t="s">
        <v>1746</v>
      </c>
    </row>
    <row r="13" spans="1:7" ht="15.75">
      <c r="B13" s="22" t="s">
        <v>1747</v>
      </c>
    </row>
    <row r="14" spans="1:7" ht="15.75">
      <c r="B14" s="22" t="s">
        <v>1748</v>
      </c>
    </row>
    <row r="16" spans="1:7" ht="15.75">
      <c r="B16" s="22" t="s">
        <v>1749</v>
      </c>
    </row>
    <row r="19" spans="1:4">
      <c r="A19" s="355" t="s">
        <v>1750</v>
      </c>
      <c r="B19" s="357" t="s">
        <v>1751</v>
      </c>
      <c r="C19" s="356" t="s">
        <v>1752</v>
      </c>
    </row>
    <row r="20" spans="1:4" ht="28.5">
      <c r="A20" s="355" t="s">
        <v>1753</v>
      </c>
      <c r="B20" s="356" t="s">
        <v>1754</v>
      </c>
      <c r="C20" s="358" t="s">
        <v>1755</v>
      </c>
    </row>
    <row r="21" spans="1:4">
      <c r="A21" s="355">
        <v>3</v>
      </c>
      <c r="B21" s="356" t="s">
        <v>1756</v>
      </c>
      <c r="C21" s="356" t="s">
        <v>1757</v>
      </c>
    </row>
    <row r="22" spans="1:4" ht="57">
      <c r="A22" s="355">
        <v>2</v>
      </c>
      <c r="B22" s="356" t="s">
        <v>1758</v>
      </c>
      <c r="C22" s="358" t="s">
        <v>1759</v>
      </c>
    </row>
    <row r="23" spans="1:4" ht="128.25">
      <c r="A23" s="355">
        <v>1</v>
      </c>
      <c r="B23" s="359" t="s">
        <v>1760</v>
      </c>
      <c r="C23" s="358" t="s">
        <v>1761</v>
      </c>
    </row>
    <row r="24" spans="1:4">
      <c r="B24" s="360"/>
    </row>
    <row r="25" spans="1:4">
      <c r="B25" s="360"/>
    </row>
    <row r="28" spans="1:4">
      <c r="D28" s="347"/>
    </row>
    <row r="29" spans="1:4">
      <c r="D29" s="347"/>
    </row>
    <row r="30" spans="1:4">
      <c r="D30" s="347"/>
    </row>
    <row r="31" spans="1:4">
      <c r="D31" s="347"/>
    </row>
    <row r="32" spans="1:4">
      <c r="D32" s="347"/>
    </row>
    <row r="33" spans="4:4">
      <c r="D33" s="347"/>
    </row>
    <row r="34" spans="4:4">
      <c r="D34" s="347"/>
    </row>
    <row r="35" spans="4:4">
      <c r="D35" s="347"/>
    </row>
    <row r="36" spans="4:4">
      <c r="D36" s="347"/>
    </row>
    <row r="37" spans="4:4">
      <c r="D37" s="347"/>
    </row>
    <row r="38" spans="4:4">
      <c r="D38" s="347"/>
    </row>
    <row r="39" spans="4:4">
      <c r="D39" s="347"/>
    </row>
    <row r="40" spans="4:4">
      <c r="D40" s="347"/>
    </row>
  </sheetData>
  <sheetProtection algorithmName="SHA-512" hashValue="lOGARY9VGaFwqhGMbygrnPGdukO1dBhjj3IXI2IJeHfxxj66gQdM/FNBOn3cktdN2xgDckxjg+RSA5dheNcRBA==" saltValue="HygTZXl3iVrzyLVXwhB2uA==" spinCount="100000" sheet="1" selectLockedCells="1"/>
  <pageMargins left="0.7" right="0.7" top="0.75" bottom="0.75" header="0.3" footer="0.3"/>
  <pageSetup paperSize="9" scale="31"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558AC0-6746-4086-8D92-8C39AA5E9AC4}">
  <sheetPr codeName="Sheet18">
    <tabColor theme="3" tint="-0.249977111117893"/>
  </sheetPr>
  <dimension ref="A1:AB138"/>
  <sheetViews>
    <sheetView showGridLines="0" zoomScale="85" zoomScaleNormal="85" workbookViewId="0"/>
  </sheetViews>
  <sheetFormatPr defaultColWidth="8.875" defaultRowHeight="14.25"/>
  <cols>
    <col min="2" max="2" width="10" customWidth="1"/>
    <col min="3" max="3" width="32.625" customWidth="1"/>
    <col min="4" max="4" width="20.125" customWidth="1"/>
    <col min="5" max="5" width="19.875" customWidth="1"/>
    <col min="6" max="6" width="19.5" style="113" customWidth="1"/>
    <col min="7" max="7" width="12" customWidth="1"/>
    <col min="8" max="8" width="8.5" customWidth="1"/>
    <col min="9" max="9" width="11.625" customWidth="1"/>
    <col min="10" max="10" width="31.375" customWidth="1"/>
    <col min="11" max="11" width="31.125" customWidth="1"/>
    <col min="12" max="12" width="20.875" customWidth="1"/>
    <col min="13" max="13" width="17.625" customWidth="1"/>
    <col min="14" max="14" width="12.125" customWidth="1"/>
  </cols>
  <sheetData>
    <row r="1" spans="1:28" ht="27.6" customHeight="1">
      <c r="A1" s="74" t="s">
        <v>1230</v>
      </c>
      <c r="B1" s="107"/>
      <c r="C1" s="107"/>
      <c r="D1" s="107"/>
      <c r="E1" s="107"/>
      <c r="F1" s="108"/>
      <c r="G1" s="108"/>
      <c r="H1" s="108"/>
      <c r="I1" s="108"/>
      <c r="J1" s="108"/>
      <c r="K1" s="108"/>
      <c r="L1" s="108"/>
      <c r="M1" s="108"/>
      <c r="N1" s="108"/>
    </row>
    <row r="2" spans="1:28">
      <c r="A2" s="109" t="s">
        <v>304</v>
      </c>
      <c r="B2" s="110"/>
      <c r="C2" s="110"/>
      <c r="D2" s="110"/>
      <c r="E2" s="110"/>
      <c r="F2" s="111"/>
      <c r="G2" s="111"/>
      <c r="H2" s="111"/>
      <c r="I2" s="111"/>
      <c r="J2" s="111"/>
      <c r="K2" s="111"/>
      <c r="L2" s="111"/>
      <c r="M2" s="111"/>
      <c r="N2" s="111"/>
    </row>
    <row r="3" spans="1:28" ht="16.350000000000001" customHeight="1">
      <c r="A3" s="112" t="s">
        <v>1231</v>
      </c>
      <c r="B3" s="110"/>
      <c r="C3" s="110"/>
      <c r="D3" s="110"/>
      <c r="E3" s="110"/>
      <c r="F3" s="111"/>
      <c r="G3" s="111"/>
      <c r="H3" s="111"/>
      <c r="I3" s="111"/>
      <c r="J3" s="111"/>
      <c r="K3" s="111"/>
      <c r="L3" s="111"/>
      <c r="M3" s="111"/>
      <c r="N3" s="111"/>
    </row>
    <row r="4" spans="1:28">
      <c r="A4" s="112" t="s">
        <v>306</v>
      </c>
      <c r="B4" s="110"/>
      <c r="C4" s="110"/>
      <c r="D4" s="110"/>
      <c r="E4" s="110"/>
      <c r="F4" s="111"/>
      <c r="G4" s="111"/>
      <c r="H4" s="111"/>
      <c r="I4" s="111"/>
      <c r="J4" s="111"/>
      <c r="K4" s="111"/>
      <c r="L4" s="111"/>
      <c r="M4" s="111"/>
      <c r="N4" s="111"/>
    </row>
    <row r="5" spans="1:28">
      <c r="A5" s="112" t="s">
        <v>1232</v>
      </c>
      <c r="B5" s="110"/>
      <c r="C5" s="110"/>
      <c r="D5" s="110"/>
      <c r="E5" s="110"/>
      <c r="F5" s="111"/>
      <c r="G5" s="111"/>
      <c r="H5" s="111"/>
      <c r="I5" s="111"/>
      <c r="J5" s="111"/>
      <c r="K5" s="111"/>
      <c r="L5" s="111"/>
      <c r="M5" s="111"/>
      <c r="N5" s="111"/>
    </row>
    <row r="6" spans="1:28">
      <c r="A6" s="112" t="s">
        <v>307</v>
      </c>
      <c r="B6" s="110"/>
      <c r="C6" s="110"/>
      <c r="D6" s="110"/>
      <c r="E6" s="110"/>
      <c r="F6" s="111"/>
      <c r="G6" s="111"/>
      <c r="H6" s="111"/>
      <c r="I6" s="111"/>
      <c r="J6" s="111"/>
      <c r="K6" s="111"/>
      <c r="L6" s="111"/>
      <c r="M6" s="111"/>
      <c r="N6" s="111"/>
    </row>
    <row r="10" spans="1:28">
      <c r="H10" s="4"/>
      <c r="K10" s="114"/>
      <c r="L10" s="114"/>
      <c r="M10" s="4"/>
      <c r="N10" s="4"/>
      <c r="O10" s="4"/>
      <c r="P10" s="4"/>
      <c r="Q10" s="4"/>
      <c r="R10" s="4"/>
      <c r="S10" s="4"/>
      <c r="T10" s="4"/>
      <c r="U10" s="4"/>
      <c r="V10" s="4"/>
      <c r="W10" s="4"/>
      <c r="X10" s="4"/>
      <c r="Y10" s="4"/>
      <c r="Z10" s="4"/>
      <c r="AA10" s="4"/>
      <c r="AB10" s="4"/>
    </row>
    <row r="11" spans="1:28">
      <c r="H11" s="4"/>
      <c r="K11" s="114"/>
      <c r="L11" s="114"/>
      <c r="M11" s="4"/>
      <c r="N11" s="4"/>
      <c r="O11" s="4"/>
      <c r="P11" s="4"/>
      <c r="Q11" s="4"/>
      <c r="R11" s="4"/>
      <c r="S11" s="4"/>
      <c r="T11" s="4"/>
      <c r="U11" s="4"/>
      <c r="V11" s="4"/>
      <c r="W11" s="4"/>
      <c r="X11" s="4"/>
      <c r="Y11" s="4"/>
      <c r="Z11" s="4"/>
      <c r="AA11" s="4"/>
      <c r="AB11" s="4"/>
    </row>
    <row r="12" spans="1:28" ht="18.75" customHeight="1">
      <c r="F12" s="115"/>
    </row>
    <row r="13" spans="1:28">
      <c r="E13" s="4"/>
      <c r="F13" s="116"/>
      <c r="G13" s="4"/>
      <c r="H13" s="4"/>
      <c r="I13" s="4"/>
      <c r="J13" s="4"/>
      <c r="K13" s="114"/>
      <c r="L13" s="114"/>
      <c r="M13" s="4"/>
      <c r="N13" s="4"/>
      <c r="O13" s="4"/>
      <c r="P13" s="4"/>
      <c r="Q13" s="4"/>
      <c r="R13" s="4"/>
      <c r="S13" s="4"/>
      <c r="T13" s="4"/>
      <c r="U13" s="4"/>
      <c r="V13" s="4"/>
      <c r="W13" s="4"/>
      <c r="X13" s="4"/>
      <c r="Y13" s="4"/>
      <c r="Z13" s="4"/>
      <c r="AA13" s="4"/>
      <c r="AB13" s="4"/>
    </row>
    <row r="14" spans="1:28">
      <c r="E14" s="4"/>
      <c r="F14" s="116"/>
      <c r="G14" s="4"/>
      <c r="H14" s="4"/>
      <c r="I14" s="4"/>
      <c r="J14" s="4"/>
      <c r="K14" s="114"/>
      <c r="L14" s="114"/>
      <c r="M14" s="4"/>
      <c r="N14" s="4"/>
      <c r="O14" s="4"/>
      <c r="P14" s="4"/>
      <c r="Q14" s="4"/>
      <c r="R14" s="4"/>
      <c r="S14" s="4"/>
      <c r="T14" s="4"/>
      <c r="U14" s="4"/>
      <c r="V14" s="4"/>
      <c r="W14" s="4"/>
      <c r="X14" s="4"/>
      <c r="Y14" s="4"/>
      <c r="Z14" s="4"/>
      <c r="AA14" s="4"/>
      <c r="AB14" s="4"/>
    </row>
    <row r="16" spans="1:28">
      <c r="A16" s="117"/>
      <c r="B16" s="117"/>
      <c r="C16" s="117"/>
      <c r="D16" s="117"/>
      <c r="E16" s="117"/>
      <c r="F16" s="118"/>
      <c r="G16" s="117"/>
      <c r="H16" s="117"/>
      <c r="I16" s="117"/>
      <c r="J16" s="117"/>
      <c r="K16" s="117"/>
      <c r="L16" s="117"/>
      <c r="M16" s="117"/>
      <c r="N16" s="117"/>
    </row>
    <row r="17" spans="1:14" ht="18.75">
      <c r="A17" s="117"/>
      <c r="B17" s="119" t="s">
        <v>1233</v>
      </c>
      <c r="C17" s="117"/>
      <c r="D17" s="117"/>
      <c r="E17" s="117"/>
      <c r="F17" s="118"/>
      <c r="G17" s="117"/>
      <c r="H17" s="117"/>
      <c r="I17" s="119" t="s">
        <v>1234</v>
      </c>
      <c r="J17" s="117"/>
      <c r="K17" s="117"/>
      <c r="L17" s="117"/>
      <c r="M17" s="118"/>
      <c r="N17" s="117"/>
    </row>
    <row r="18" spans="1:14" ht="15">
      <c r="A18" s="117"/>
      <c r="B18" s="117"/>
      <c r="C18" s="117"/>
      <c r="D18" s="117"/>
      <c r="E18" s="117"/>
      <c r="F18" s="120"/>
      <c r="G18" s="117"/>
      <c r="H18" s="117"/>
      <c r="I18" s="117"/>
      <c r="J18" s="117"/>
      <c r="K18" s="117"/>
      <c r="L18" s="117"/>
      <c r="M18" s="120"/>
      <c r="N18" s="117"/>
    </row>
    <row r="19" spans="1:14" ht="18.75">
      <c r="A19" s="121"/>
      <c r="B19" s="119" t="s">
        <v>1235</v>
      </c>
      <c r="C19" s="117"/>
      <c r="D19" s="117"/>
      <c r="E19" s="117"/>
      <c r="F19" s="118"/>
      <c r="G19" s="117"/>
      <c r="H19" s="117"/>
      <c r="I19" s="119" t="s">
        <v>1236</v>
      </c>
      <c r="J19" s="117"/>
      <c r="K19" s="117"/>
      <c r="L19" s="117"/>
      <c r="M19" s="118"/>
      <c r="N19" s="117"/>
    </row>
    <row r="20" spans="1:14">
      <c r="A20" s="117"/>
      <c r="B20" s="121" t="s">
        <v>1237</v>
      </c>
      <c r="C20" s="117"/>
      <c r="D20" s="117"/>
      <c r="E20" s="117"/>
      <c r="F20" s="117"/>
      <c r="G20" s="117"/>
      <c r="H20" s="117"/>
      <c r="I20" s="121" t="s">
        <v>1237</v>
      </c>
      <c r="J20" s="117"/>
      <c r="K20" s="117"/>
      <c r="L20" s="117"/>
      <c r="M20" s="117"/>
      <c r="N20" s="117"/>
    </row>
    <row r="21" spans="1:14" ht="9" customHeight="1">
      <c r="A21" s="117"/>
      <c r="B21" s="121"/>
      <c r="C21" s="117"/>
      <c r="D21" s="117"/>
      <c r="E21" s="117"/>
      <c r="F21" s="117"/>
      <c r="G21" s="117"/>
      <c r="H21" s="117"/>
      <c r="I21" s="121"/>
      <c r="J21" s="117"/>
      <c r="K21" s="117"/>
      <c r="L21" s="117"/>
      <c r="M21" s="117"/>
      <c r="N21" s="117"/>
    </row>
    <row r="22" spans="1:14">
      <c r="A22" s="117"/>
      <c r="B22" s="117"/>
      <c r="C22" s="830" t="s">
        <v>312</v>
      </c>
      <c r="D22" s="500" t="s">
        <v>312</v>
      </c>
      <c r="E22" s="830" t="s">
        <v>312</v>
      </c>
      <c r="F22" s="830" t="s">
        <v>312</v>
      </c>
      <c r="G22" s="117"/>
      <c r="H22" s="117"/>
      <c r="I22" s="117"/>
      <c r="J22" s="830" t="s">
        <v>312</v>
      </c>
      <c r="K22" s="500" t="s">
        <v>312</v>
      </c>
      <c r="L22" s="830" t="s">
        <v>312</v>
      </c>
      <c r="M22" s="830" t="s">
        <v>312</v>
      </c>
      <c r="N22" s="117"/>
    </row>
    <row r="23" spans="1:14" ht="30">
      <c r="A23" s="117"/>
      <c r="B23" s="123" t="s">
        <v>1238</v>
      </c>
      <c r="C23" s="124" t="s">
        <v>319</v>
      </c>
      <c r="D23" s="125" t="s">
        <v>1239</v>
      </c>
      <c r="E23" s="125" t="s">
        <v>1240</v>
      </c>
      <c r="F23" s="125" t="s">
        <v>1241</v>
      </c>
      <c r="G23" s="126" t="s">
        <v>322</v>
      </c>
      <c r="H23" s="117"/>
      <c r="I23" s="123" t="s">
        <v>1238</v>
      </c>
      <c r="J23" s="124" t="s">
        <v>319</v>
      </c>
      <c r="K23" s="125" t="s">
        <v>1239</v>
      </c>
      <c r="L23" s="125" t="s">
        <v>1240</v>
      </c>
      <c r="M23" s="125" t="s">
        <v>1241</v>
      </c>
      <c r="N23" s="126" t="s">
        <v>322</v>
      </c>
    </row>
    <row r="24" spans="1:14" ht="57">
      <c r="A24" s="117"/>
      <c r="B24" s="127">
        <v>1</v>
      </c>
      <c r="C24" s="128" t="s">
        <v>1242</v>
      </c>
      <c r="D24" s="129" t="s">
        <v>1243</v>
      </c>
      <c r="E24" s="130">
        <v>10000000</v>
      </c>
      <c r="F24" s="131" t="s">
        <v>1244</v>
      </c>
      <c r="G24" s="940" t="str">
        <f>IFERROR(E24*F24/1000,"")</f>
        <v/>
      </c>
      <c r="H24" s="117"/>
      <c r="I24" s="127">
        <v>1</v>
      </c>
      <c r="J24" s="128" t="s">
        <v>1242</v>
      </c>
      <c r="K24" s="129" t="s">
        <v>1243</v>
      </c>
      <c r="L24" s="130">
        <v>10000000</v>
      </c>
      <c r="M24" s="131" t="s">
        <v>1244</v>
      </c>
      <c r="N24" s="940" t="str">
        <f>IFERROR(L24*M24,"")</f>
        <v/>
      </c>
    </row>
    <row r="25" spans="1:14" ht="15">
      <c r="A25" s="117"/>
      <c r="B25" s="127">
        <v>2</v>
      </c>
      <c r="C25" s="132"/>
      <c r="D25" s="133"/>
      <c r="E25" s="134"/>
      <c r="F25" s="335"/>
      <c r="G25" s="941" t="str">
        <f>IF(E25="","",IFERROR(E25*F25/1000,""))</f>
        <v/>
      </c>
      <c r="H25" s="117"/>
      <c r="I25" s="127">
        <v>2</v>
      </c>
      <c r="J25" s="132"/>
      <c r="K25" s="133"/>
      <c r="L25" s="134"/>
      <c r="M25" s="135"/>
      <c r="N25" s="941" t="str">
        <f>IF(L25="","",IFERROR(L25*M25/1000,""))</f>
        <v/>
      </c>
    </row>
    <row r="26" spans="1:14" ht="15">
      <c r="A26" s="117"/>
      <c r="B26" s="127">
        <v>3</v>
      </c>
      <c r="C26" s="132"/>
      <c r="D26" s="133"/>
      <c r="E26" s="134"/>
      <c r="F26" s="335"/>
      <c r="G26" s="941" t="str">
        <f t="shared" ref="G26:G43" si="0">IF(E26="","",IFERROR(E26*F26/1000,""))</f>
        <v/>
      </c>
      <c r="H26" s="117"/>
      <c r="I26" s="127">
        <v>3</v>
      </c>
      <c r="J26" s="132"/>
      <c r="K26" s="133"/>
      <c r="L26" s="134"/>
      <c r="M26" s="335"/>
      <c r="N26" s="941" t="str">
        <f t="shared" ref="N26:N43" si="1">IF(L26="","",IFERROR(L26*M26/1000,""))</f>
        <v/>
      </c>
    </row>
    <row r="27" spans="1:14" ht="15">
      <c r="A27" s="117"/>
      <c r="B27" s="127">
        <v>4</v>
      </c>
      <c r="C27" s="132"/>
      <c r="D27" s="133"/>
      <c r="E27" s="134"/>
      <c r="F27" s="335"/>
      <c r="G27" s="941" t="str">
        <f t="shared" si="0"/>
        <v/>
      </c>
      <c r="H27" s="117"/>
      <c r="I27" s="127">
        <v>4</v>
      </c>
      <c r="J27" s="132"/>
      <c r="K27" s="133"/>
      <c r="L27" s="134"/>
      <c r="M27" s="335"/>
      <c r="N27" s="941" t="str">
        <f t="shared" si="1"/>
        <v/>
      </c>
    </row>
    <row r="28" spans="1:14" ht="15">
      <c r="A28" s="117"/>
      <c r="B28" s="127">
        <v>5</v>
      </c>
      <c r="C28" s="132"/>
      <c r="D28" s="133"/>
      <c r="E28" s="134"/>
      <c r="F28" s="335"/>
      <c r="G28" s="941" t="str">
        <f t="shared" si="0"/>
        <v/>
      </c>
      <c r="H28" s="117"/>
      <c r="I28" s="127">
        <v>5</v>
      </c>
      <c r="J28" s="132"/>
      <c r="K28" s="133"/>
      <c r="L28" s="134"/>
      <c r="M28" s="335"/>
      <c r="N28" s="941" t="str">
        <f t="shared" si="1"/>
        <v/>
      </c>
    </row>
    <row r="29" spans="1:14" ht="15">
      <c r="A29" s="117"/>
      <c r="B29" s="127">
        <v>6</v>
      </c>
      <c r="C29" s="132"/>
      <c r="D29" s="133"/>
      <c r="E29" s="134"/>
      <c r="F29" s="335"/>
      <c r="G29" s="941" t="str">
        <f t="shared" si="0"/>
        <v/>
      </c>
      <c r="H29" s="117"/>
      <c r="I29" s="127">
        <v>6</v>
      </c>
      <c r="J29" s="132"/>
      <c r="K29" s="133"/>
      <c r="L29" s="134"/>
      <c r="M29" s="335"/>
      <c r="N29" s="941" t="str">
        <f t="shared" si="1"/>
        <v/>
      </c>
    </row>
    <row r="30" spans="1:14" ht="15">
      <c r="A30" s="117"/>
      <c r="B30" s="127">
        <v>7</v>
      </c>
      <c r="C30" s="132"/>
      <c r="D30" s="133"/>
      <c r="E30" s="134"/>
      <c r="F30" s="335"/>
      <c r="G30" s="941" t="str">
        <f t="shared" si="0"/>
        <v/>
      </c>
      <c r="H30" s="117"/>
      <c r="I30" s="127">
        <v>7</v>
      </c>
      <c r="J30" s="132"/>
      <c r="K30" s="133"/>
      <c r="L30" s="134"/>
      <c r="M30" s="335"/>
      <c r="N30" s="941" t="str">
        <f t="shared" si="1"/>
        <v/>
      </c>
    </row>
    <row r="31" spans="1:14" ht="15">
      <c r="A31" s="117"/>
      <c r="B31" s="127">
        <v>8</v>
      </c>
      <c r="C31" s="132"/>
      <c r="D31" s="133"/>
      <c r="E31" s="134"/>
      <c r="F31" s="335"/>
      <c r="G31" s="941" t="str">
        <f t="shared" si="0"/>
        <v/>
      </c>
      <c r="H31" s="117"/>
      <c r="I31" s="127">
        <v>8</v>
      </c>
      <c r="J31" s="132"/>
      <c r="K31" s="133"/>
      <c r="L31" s="134"/>
      <c r="M31" s="335"/>
      <c r="N31" s="941" t="str">
        <f t="shared" si="1"/>
        <v/>
      </c>
    </row>
    <row r="32" spans="1:14" ht="15">
      <c r="A32" s="117"/>
      <c r="B32" s="127">
        <v>9</v>
      </c>
      <c r="C32" s="132"/>
      <c r="D32" s="133"/>
      <c r="E32" s="134"/>
      <c r="F32" s="335"/>
      <c r="G32" s="941" t="str">
        <f t="shared" si="0"/>
        <v/>
      </c>
      <c r="H32" s="117"/>
      <c r="I32" s="127">
        <v>9</v>
      </c>
      <c r="J32" s="132"/>
      <c r="K32" s="133"/>
      <c r="L32" s="134"/>
      <c r="M32" s="335"/>
      <c r="N32" s="941" t="str">
        <f t="shared" si="1"/>
        <v/>
      </c>
    </row>
    <row r="33" spans="1:14" ht="15">
      <c r="A33" s="117"/>
      <c r="B33" s="127">
        <v>10</v>
      </c>
      <c r="C33" s="132"/>
      <c r="D33" s="133"/>
      <c r="E33" s="134"/>
      <c r="F33" s="335"/>
      <c r="G33" s="941" t="str">
        <f t="shared" si="0"/>
        <v/>
      </c>
      <c r="H33" s="117"/>
      <c r="I33" s="127">
        <v>10</v>
      </c>
      <c r="J33" s="132"/>
      <c r="K33" s="133"/>
      <c r="L33" s="134"/>
      <c r="M33" s="335"/>
      <c r="N33" s="941" t="str">
        <f t="shared" si="1"/>
        <v/>
      </c>
    </row>
    <row r="34" spans="1:14" ht="15">
      <c r="A34" s="117"/>
      <c r="B34" s="127">
        <v>11</v>
      </c>
      <c r="C34" s="132"/>
      <c r="D34" s="133"/>
      <c r="E34" s="134"/>
      <c r="F34" s="335"/>
      <c r="G34" s="941" t="str">
        <f t="shared" si="0"/>
        <v/>
      </c>
      <c r="H34" s="117"/>
      <c r="I34" s="127">
        <v>11</v>
      </c>
      <c r="J34" s="132"/>
      <c r="K34" s="133"/>
      <c r="L34" s="134"/>
      <c r="M34" s="335"/>
      <c r="N34" s="941" t="str">
        <f t="shared" si="1"/>
        <v/>
      </c>
    </row>
    <row r="35" spans="1:14" ht="15">
      <c r="A35" s="117"/>
      <c r="B35" s="127">
        <v>12</v>
      </c>
      <c r="C35" s="132"/>
      <c r="D35" s="133"/>
      <c r="E35" s="134"/>
      <c r="F35" s="335"/>
      <c r="G35" s="941" t="str">
        <f t="shared" si="0"/>
        <v/>
      </c>
      <c r="H35" s="117"/>
      <c r="I35" s="127">
        <v>12</v>
      </c>
      <c r="J35" s="132"/>
      <c r="K35" s="133"/>
      <c r="L35" s="134"/>
      <c r="M35" s="335"/>
      <c r="N35" s="941" t="str">
        <f t="shared" si="1"/>
        <v/>
      </c>
    </row>
    <row r="36" spans="1:14" ht="15">
      <c r="A36" s="117"/>
      <c r="B36" s="127">
        <v>13</v>
      </c>
      <c r="C36" s="132"/>
      <c r="D36" s="133"/>
      <c r="E36" s="134"/>
      <c r="F36" s="335"/>
      <c r="G36" s="941" t="str">
        <f t="shared" si="0"/>
        <v/>
      </c>
      <c r="H36" s="117"/>
      <c r="I36" s="127">
        <v>13</v>
      </c>
      <c r="J36" s="132"/>
      <c r="K36" s="133"/>
      <c r="L36" s="134"/>
      <c r="M36" s="335"/>
      <c r="N36" s="941" t="str">
        <f t="shared" si="1"/>
        <v/>
      </c>
    </row>
    <row r="37" spans="1:14" ht="15">
      <c r="A37" s="117"/>
      <c r="B37" s="127">
        <v>14</v>
      </c>
      <c r="C37" s="132"/>
      <c r="D37" s="133"/>
      <c r="E37" s="134"/>
      <c r="F37" s="335"/>
      <c r="G37" s="941" t="str">
        <f t="shared" si="0"/>
        <v/>
      </c>
      <c r="H37" s="117"/>
      <c r="I37" s="127">
        <v>14</v>
      </c>
      <c r="J37" s="132"/>
      <c r="K37" s="133"/>
      <c r="L37" s="134"/>
      <c r="M37" s="335"/>
      <c r="N37" s="941" t="str">
        <f t="shared" si="1"/>
        <v/>
      </c>
    </row>
    <row r="38" spans="1:14" ht="15">
      <c r="A38" s="117"/>
      <c r="B38" s="127">
        <v>15</v>
      </c>
      <c r="C38" s="132"/>
      <c r="D38" s="133"/>
      <c r="E38" s="134"/>
      <c r="F38" s="335"/>
      <c r="G38" s="941" t="str">
        <f t="shared" si="0"/>
        <v/>
      </c>
      <c r="H38" s="117"/>
      <c r="I38" s="127">
        <v>15</v>
      </c>
      <c r="J38" s="132"/>
      <c r="K38" s="133"/>
      <c r="L38" s="134"/>
      <c r="M38" s="335"/>
      <c r="N38" s="941" t="str">
        <f t="shared" si="1"/>
        <v/>
      </c>
    </row>
    <row r="39" spans="1:14" ht="15">
      <c r="A39" s="117"/>
      <c r="B39" s="127">
        <v>16</v>
      </c>
      <c r="C39" s="132"/>
      <c r="D39" s="133"/>
      <c r="E39" s="134"/>
      <c r="F39" s="335"/>
      <c r="G39" s="941" t="str">
        <f t="shared" si="0"/>
        <v/>
      </c>
      <c r="H39" s="117"/>
      <c r="I39" s="127">
        <v>16</v>
      </c>
      <c r="J39" s="132"/>
      <c r="K39" s="133"/>
      <c r="L39" s="134"/>
      <c r="M39" s="335"/>
      <c r="N39" s="941" t="str">
        <f t="shared" si="1"/>
        <v/>
      </c>
    </row>
    <row r="40" spans="1:14" ht="15">
      <c r="A40" s="117"/>
      <c r="B40" s="127">
        <v>17</v>
      </c>
      <c r="C40" s="132"/>
      <c r="D40" s="133"/>
      <c r="E40" s="134"/>
      <c r="F40" s="335"/>
      <c r="G40" s="941" t="str">
        <f t="shared" si="0"/>
        <v/>
      </c>
      <c r="H40" s="117"/>
      <c r="I40" s="127">
        <v>17</v>
      </c>
      <c r="J40" s="132"/>
      <c r="K40" s="133"/>
      <c r="L40" s="134"/>
      <c r="M40" s="335"/>
      <c r="N40" s="941" t="str">
        <f t="shared" si="1"/>
        <v/>
      </c>
    </row>
    <row r="41" spans="1:14" ht="15">
      <c r="A41" s="117"/>
      <c r="B41" s="127">
        <v>18</v>
      </c>
      <c r="C41" s="132"/>
      <c r="D41" s="133"/>
      <c r="E41" s="134"/>
      <c r="F41" s="335"/>
      <c r="G41" s="941" t="str">
        <f t="shared" si="0"/>
        <v/>
      </c>
      <c r="H41" s="117"/>
      <c r="I41" s="127">
        <v>18</v>
      </c>
      <c r="J41" s="132"/>
      <c r="K41" s="133"/>
      <c r="L41" s="134"/>
      <c r="M41" s="335"/>
      <c r="N41" s="941" t="str">
        <f t="shared" si="1"/>
        <v/>
      </c>
    </row>
    <row r="42" spans="1:14" ht="15">
      <c r="A42" s="117"/>
      <c r="B42" s="127">
        <v>19</v>
      </c>
      <c r="C42" s="132"/>
      <c r="D42" s="133"/>
      <c r="E42" s="134"/>
      <c r="F42" s="335"/>
      <c r="G42" s="941" t="str">
        <f t="shared" si="0"/>
        <v/>
      </c>
      <c r="H42" s="117"/>
      <c r="I42" s="127">
        <v>19</v>
      </c>
      <c r="J42" s="132"/>
      <c r="K42" s="133"/>
      <c r="L42" s="134"/>
      <c r="M42" s="335"/>
      <c r="N42" s="941" t="str">
        <f t="shared" si="1"/>
        <v/>
      </c>
    </row>
    <row r="43" spans="1:14" ht="15">
      <c r="A43" s="117"/>
      <c r="B43" s="127">
        <v>20</v>
      </c>
      <c r="C43" s="132"/>
      <c r="D43" s="133"/>
      <c r="E43" s="134"/>
      <c r="F43" s="335"/>
      <c r="G43" s="941" t="str">
        <f t="shared" si="0"/>
        <v/>
      </c>
      <c r="H43" s="117"/>
      <c r="I43" s="127">
        <v>20</v>
      </c>
      <c r="J43" s="132"/>
      <c r="K43" s="133"/>
      <c r="L43" s="134"/>
      <c r="M43" s="335"/>
      <c r="N43" s="941" t="str">
        <f t="shared" si="1"/>
        <v/>
      </c>
    </row>
    <row r="44" spans="1:14" ht="15" thickBot="1">
      <c r="A44" s="117"/>
      <c r="B44" s="117"/>
      <c r="C44" s="117"/>
      <c r="D44" s="117"/>
      <c r="E44" s="117"/>
      <c r="F44" s="117"/>
      <c r="G44" s="30"/>
      <c r="H44" s="117"/>
      <c r="I44" s="117"/>
      <c r="J44" s="117"/>
      <c r="K44" s="117"/>
      <c r="L44" s="117"/>
      <c r="M44" s="117"/>
      <c r="N44" s="30"/>
    </row>
    <row r="45" spans="1:14" ht="15" thickBot="1">
      <c r="A45" s="117"/>
      <c r="B45" s="117"/>
      <c r="C45" s="117"/>
      <c r="D45" s="117"/>
      <c r="E45" s="136"/>
      <c r="F45" s="137" t="s">
        <v>1245</v>
      </c>
      <c r="G45" s="942">
        <f>SUM($G$25:$G$43)</f>
        <v>0</v>
      </c>
      <c r="H45" s="117"/>
      <c r="I45" s="117"/>
      <c r="J45" s="117"/>
      <c r="K45" s="117"/>
      <c r="L45" s="136"/>
      <c r="M45" s="137" t="s">
        <v>1246</v>
      </c>
      <c r="N45" s="942">
        <f>SUM($N$25:$N$43)</f>
        <v>0</v>
      </c>
    </row>
    <row r="46" spans="1:14">
      <c r="A46" s="117"/>
      <c r="B46" s="117"/>
      <c r="C46" s="117"/>
      <c r="D46" s="117"/>
      <c r="E46" s="117"/>
      <c r="F46" s="117"/>
      <c r="G46" s="117"/>
      <c r="H46" s="117"/>
      <c r="I46" s="117"/>
      <c r="J46" s="117"/>
      <c r="K46" s="117"/>
      <c r="L46" s="117"/>
      <c r="M46" s="117"/>
      <c r="N46" s="117"/>
    </row>
    <row r="47" spans="1:14" ht="18.75">
      <c r="A47" s="117"/>
      <c r="B47" s="119" t="s">
        <v>1247</v>
      </c>
      <c r="C47" s="117"/>
      <c r="D47" s="117"/>
      <c r="E47" s="117"/>
      <c r="F47" s="117"/>
      <c r="G47" s="117"/>
      <c r="H47" s="117"/>
      <c r="I47" s="119" t="s">
        <v>1248</v>
      </c>
      <c r="J47" s="117"/>
      <c r="K47" s="117"/>
      <c r="L47" s="117"/>
      <c r="M47" s="117"/>
      <c r="N47" s="117"/>
    </row>
    <row r="48" spans="1:14" ht="15">
      <c r="A48" s="117"/>
      <c r="B48" s="120" t="s">
        <v>1249</v>
      </c>
      <c r="C48" s="117"/>
      <c r="D48" s="117"/>
      <c r="E48" s="117"/>
      <c r="F48" s="117"/>
      <c r="G48" s="117"/>
      <c r="H48" s="117"/>
      <c r="I48" s="120" t="s">
        <v>1249</v>
      </c>
      <c r="J48" s="117"/>
      <c r="K48" s="117"/>
      <c r="L48" s="117"/>
      <c r="M48" s="117"/>
      <c r="N48" s="117"/>
    </row>
    <row r="49" spans="1:14" ht="9" customHeight="1">
      <c r="A49" s="117"/>
      <c r="B49" s="120"/>
      <c r="C49" s="117"/>
      <c r="D49" s="117"/>
      <c r="E49" s="117"/>
      <c r="F49" s="117"/>
      <c r="G49" s="117"/>
      <c r="H49" s="117"/>
      <c r="I49" s="120"/>
      <c r="J49" s="117"/>
      <c r="K49" s="117"/>
      <c r="L49" s="117"/>
      <c r="M49" s="117"/>
      <c r="N49" s="117"/>
    </row>
    <row r="50" spans="1:14">
      <c r="A50" s="117"/>
      <c r="B50" s="117"/>
      <c r="C50" s="830" t="s">
        <v>312</v>
      </c>
      <c r="D50" s="1549" t="s">
        <v>312</v>
      </c>
      <c r="E50" s="1549"/>
      <c r="F50" s="1549"/>
      <c r="G50" s="830" t="s">
        <v>312</v>
      </c>
      <c r="H50" s="117"/>
      <c r="I50" s="117"/>
      <c r="J50" s="830" t="s">
        <v>312</v>
      </c>
      <c r="K50" s="1549" t="s">
        <v>312</v>
      </c>
      <c r="L50" s="1549"/>
      <c r="M50" s="1549"/>
      <c r="N50" s="830" t="s">
        <v>312</v>
      </c>
    </row>
    <row r="51" spans="1:14" ht="30">
      <c r="A51" s="117"/>
      <c r="B51" s="123" t="s">
        <v>1238</v>
      </c>
      <c r="C51" s="138" t="s">
        <v>319</v>
      </c>
      <c r="D51" s="1550" t="s">
        <v>29</v>
      </c>
      <c r="E51" s="1550"/>
      <c r="F51" s="1550"/>
      <c r="G51" s="126" t="s">
        <v>322</v>
      </c>
      <c r="H51" s="117"/>
      <c r="I51" s="123" t="s">
        <v>1238</v>
      </c>
      <c r="J51" s="138" t="s">
        <v>319</v>
      </c>
      <c r="K51" s="1550" t="s">
        <v>29</v>
      </c>
      <c r="L51" s="1550"/>
      <c r="M51" s="1550"/>
      <c r="N51" s="126" t="s">
        <v>322</v>
      </c>
    </row>
    <row r="52" spans="1:14" ht="15">
      <c r="A52" s="117"/>
      <c r="B52" s="127">
        <v>1</v>
      </c>
      <c r="C52" s="132"/>
      <c r="D52" s="1551"/>
      <c r="E52" s="1552"/>
      <c r="F52" s="1553"/>
      <c r="G52" s="139"/>
      <c r="H52" s="117"/>
      <c r="I52" s="127">
        <v>1</v>
      </c>
      <c r="J52" s="132"/>
      <c r="K52" s="1551"/>
      <c r="L52" s="1552"/>
      <c r="M52" s="1553"/>
      <c r="N52" s="139"/>
    </row>
    <row r="53" spans="1:14" ht="15">
      <c r="A53" s="117"/>
      <c r="B53" s="127">
        <v>2</v>
      </c>
      <c r="C53" s="132"/>
      <c r="D53" s="1551"/>
      <c r="E53" s="1552"/>
      <c r="F53" s="1553"/>
      <c r="G53" s="139"/>
      <c r="H53" s="117"/>
      <c r="I53" s="127">
        <v>2</v>
      </c>
      <c r="J53" s="132"/>
      <c r="K53" s="1551"/>
      <c r="L53" s="1552"/>
      <c r="M53" s="1553"/>
      <c r="N53" s="139"/>
    </row>
    <row r="54" spans="1:14" ht="15">
      <c r="A54" s="117"/>
      <c r="B54" s="127">
        <v>3</v>
      </c>
      <c r="C54" s="132"/>
      <c r="D54" s="1551"/>
      <c r="E54" s="1552"/>
      <c r="F54" s="1553"/>
      <c r="G54" s="139"/>
      <c r="H54" s="117"/>
      <c r="I54" s="127">
        <v>3</v>
      </c>
      <c r="J54" s="132"/>
      <c r="K54" s="1551"/>
      <c r="L54" s="1552"/>
      <c r="M54" s="1553"/>
      <c r="N54" s="139"/>
    </row>
    <row r="55" spans="1:14" ht="15">
      <c r="A55" s="117"/>
      <c r="B55" s="127">
        <v>4</v>
      </c>
      <c r="C55" s="132"/>
      <c r="D55" s="1551"/>
      <c r="E55" s="1552"/>
      <c r="F55" s="1553"/>
      <c r="G55" s="139"/>
      <c r="H55" s="117"/>
      <c r="I55" s="127">
        <v>4</v>
      </c>
      <c r="J55" s="132"/>
      <c r="K55" s="1551"/>
      <c r="L55" s="1552"/>
      <c r="M55" s="1553"/>
      <c r="N55" s="139"/>
    </row>
    <row r="56" spans="1:14" ht="15">
      <c r="A56" s="117"/>
      <c r="B56" s="127">
        <v>5</v>
      </c>
      <c r="C56" s="132"/>
      <c r="D56" s="1551"/>
      <c r="E56" s="1552"/>
      <c r="F56" s="1553"/>
      <c r="G56" s="139"/>
      <c r="H56" s="117"/>
      <c r="I56" s="127">
        <v>5</v>
      </c>
      <c r="J56" s="132"/>
      <c r="K56" s="1551"/>
      <c r="L56" s="1552"/>
      <c r="M56" s="1553"/>
      <c r="N56" s="139"/>
    </row>
    <row r="57" spans="1:14" ht="15">
      <c r="A57" s="117"/>
      <c r="B57" s="127">
        <v>6</v>
      </c>
      <c r="C57" s="132"/>
      <c r="D57" s="1551"/>
      <c r="E57" s="1552"/>
      <c r="F57" s="1553"/>
      <c r="G57" s="139"/>
      <c r="H57" s="117"/>
      <c r="I57" s="127">
        <v>6</v>
      </c>
      <c r="J57" s="132"/>
      <c r="K57" s="1551"/>
      <c r="L57" s="1552"/>
      <c r="M57" s="1553"/>
      <c r="N57" s="139"/>
    </row>
    <row r="58" spans="1:14" ht="15">
      <c r="A58" s="117"/>
      <c r="B58" s="127">
        <v>7</v>
      </c>
      <c r="C58" s="132"/>
      <c r="D58" s="1551"/>
      <c r="E58" s="1552"/>
      <c r="F58" s="1553"/>
      <c r="G58" s="139"/>
      <c r="H58" s="117"/>
      <c r="I58" s="127">
        <v>7</v>
      </c>
      <c r="J58" s="132"/>
      <c r="K58" s="1551"/>
      <c r="L58" s="1552"/>
      <c r="M58" s="1553"/>
      <c r="N58" s="139"/>
    </row>
    <row r="59" spans="1:14" ht="15">
      <c r="A59" s="117"/>
      <c r="B59" s="127">
        <v>8</v>
      </c>
      <c r="C59" s="132"/>
      <c r="D59" s="1551"/>
      <c r="E59" s="1552"/>
      <c r="F59" s="1553"/>
      <c r="G59" s="139"/>
      <c r="H59" s="117"/>
      <c r="I59" s="127">
        <v>8</v>
      </c>
      <c r="J59" s="132"/>
      <c r="K59" s="1551"/>
      <c r="L59" s="1552"/>
      <c r="M59" s="1553"/>
      <c r="N59" s="139"/>
    </row>
    <row r="60" spans="1:14" ht="15">
      <c r="A60" s="117"/>
      <c r="B60" s="127">
        <v>9</v>
      </c>
      <c r="C60" s="132"/>
      <c r="D60" s="1551"/>
      <c r="E60" s="1552"/>
      <c r="F60" s="1553"/>
      <c r="G60" s="139"/>
      <c r="H60" s="117"/>
      <c r="I60" s="127">
        <v>9</v>
      </c>
      <c r="J60" s="132"/>
      <c r="K60" s="1551"/>
      <c r="L60" s="1552"/>
      <c r="M60" s="1553"/>
      <c r="N60" s="139"/>
    </row>
    <row r="61" spans="1:14" ht="15">
      <c r="A61" s="117"/>
      <c r="B61" s="127">
        <v>10</v>
      </c>
      <c r="C61" s="132"/>
      <c r="D61" s="1551"/>
      <c r="E61" s="1552"/>
      <c r="F61" s="1553"/>
      <c r="G61" s="139"/>
      <c r="H61" s="117"/>
      <c r="I61" s="127">
        <v>10</v>
      </c>
      <c r="J61" s="132"/>
      <c r="K61" s="1551"/>
      <c r="L61" s="1552"/>
      <c r="M61" s="1553"/>
      <c r="N61" s="139"/>
    </row>
    <row r="62" spans="1:14" ht="15" thickBot="1">
      <c r="A62" s="117"/>
      <c r="B62" s="117"/>
      <c r="C62" s="117"/>
      <c r="D62" s="117"/>
      <c r="E62" s="117"/>
      <c r="F62" s="117"/>
      <c r="G62" s="117"/>
      <c r="H62" s="117"/>
      <c r="I62" s="117"/>
      <c r="J62" s="117"/>
      <c r="K62" s="117"/>
      <c r="L62" s="117"/>
      <c r="M62" s="117"/>
      <c r="N62" s="117"/>
    </row>
    <row r="63" spans="1:14" ht="15" thickBot="1">
      <c r="A63" s="117"/>
      <c r="B63" s="117"/>
      <c r="C63" s="117"/>
      <c r="D63" s="117"/>
      <c r="E63" s="136"/>
      <c r="F63" s="137" t="s">
        <v>1245</v>
      </c>
      <c r="G63" s="942">
        <f>SUM($G$52:$G$61)</f>
        <v>0</v>
      </c>
      <c r="H63" s="117"/>
      <c r="I63" s="117"/>
      <c r="J63" s="117"/>
      <c r="K63" s="117"/>
      <c r="L63" s="136"/>
      <c r="M63" s="137" t="s">
        <v>1250</v>
      </c>
      <c r="N63" s="942">
        <f>SUM($N$52:$N$61)</f>
        <v>0</v>
      </c>
    </row>
    <row r="64" spans="1:14">
      <c r="F64"/>
    </row>
    <row r="65" spans="2:6">
      <c r="F65"/>
    </row>
    <row r="66" spans="2:6" ht="18.75">
      <c r="B66" s="203" t="s">
        <v>3998</v>
      </c>
      <c r="F66"/>
    </row>
    <row r="67" spans="2:6">
      <c r="B67" s="204" t="s">
        <v>1237</v>
      </c>
      <c r="F67"/>
    </row>
    <row r="68" spans="2:6" ht="9" customHeight="1">
      <c r="B68" s="204"/>
      <c r="F68"/>
    </row>
    <row r="69" spans="2:6">
      <c r="C69" s="814" t="s">
        <v>312</v>
      </c>
      <c r="D69" s="814" t="s">
        <v>312</v>
      </c>
      <c r="F69"/>
    </row>
    <row r="70" spans="2:6" ht="30">
      <c r="B70" s="205" t="s">
        <v>1238</v>
      </c>
      <c r="C70" s="206" t="s">
        <v>319</v>
      </c>
      <c r="D70" s="215" t="s">
        <v>1355</v>
      </c>
      <c r="E70" s="216" t="s">
        <v>322</v>
      </c>
      <c r="F70"/>
    </row>
    <row r="71" spans="2:6" ht="15">
      <c r="B71" s="207">
        <v>1</v>
      </c>
      <c r="C71" s="147" t="s">
        <v>3997</v>
      </c>
      <c r="D71" s="208">
        <v>1000000</v>
      </c>
      <c r="E71" s="802">
        <f>IF(D71="","",D71*Conversions!$C$40*EF!$R$20/1000000/1000)</f>
        <v>0.72415518324457406</v>
      </c>
      <c r="F71"/>
    </row>
    <row r="72" spans="2:6" ht="15">
      <c r="B72" s="207">
        <v>2</v>
      </c>
      <c r="C72" s="157"/>
      <c r="D72" s="211"/>
      <c r="E72" s="803" t="str">
        <f>IF(D72="","",D72*Conversions!$C$40*EF!$R$20/1000000/1000)</f>
        <v/>
      </c>
      <c r="F72"/>
    </row>
    <row r="73" spans="2:6" ht="15">
      <c r="B73" s="207">
        <v>3</v>
      </c>
      <c r="C73" s="157"/>
      <c r="D73" s="211"/>
      <c r="E73" s="801" t="str">
        <f>IF(D73="","",D73*Conversions!$C$40*EF!$R$20/1000000/1000)</f>
        <v/>
      </c>
      <c r="F73"/>
    </row>
    <row r="74" spans="2:6" ht="15">
      <c r="B74" s="207">
        <v>4</v>
      </c>
      <c r="C74" s="157"/>
      <c r="D74" s="211"/>
      <c r="E74" s="801" t="str">
        <f>IF(D74="","",D74*Conversions!$C$40*EF!$R$20/1000000/1000)</f>
        <v/>
      </c>
      <c r="F74"/>
    </row>
    <row r="75" spans="2:6" ht="15">
      <c r="B75" s="207">
        <v>5</v>
      </c>
      <c r="C75" s="157"/>
      <c r="D75" s="211"/>
      <c r="E75" s="801" t="str">
        <f>IF(D75="","",D75*Conversions!$C$40*EF!$R$20/1000000/1000)</f>
        <v/>
      </c>
      <c r="F75"/>
    </row>
    <row r="76" spans="2:6" ht="15">
      <c r="B76" s="207">
        <v>6</v>
      </c>
      <c r="C76" s="157"/>
      <c r="D76" s="211"/>
      <c r="E76" s="801" t="str">
        <f>IF(D76="","",D76*Conversions!$C$40*EF!$R$20/1000000/1000)</f>
        <v/>
      </c>
      <c r="F76"/>
    </row>
    <row r="77" spans="2:6" ht="15">
      <c r="B77" s="207">
        <v>7</v>
      </c>
      <c r="C77" s="157"/>
      <c r="D77" s="211"/>
      <c r="E77" s="801" t="str">
        <f>IF(D77="","",D77*Conversions!$C$40*EF!$R$20/1000000/1000)</f>
        <v/>
      </c>
      <c r="F77"/>
    </row>
    <row r="78" spans="2:6" ht="15">
      <c r="B78" s="207">
        <v>8</v>
      </c>
      <c r="C78" s="157"/>
      <c r="D78" s="211"/>
      <c r="E78" s="801" t="str">
        <f>IF(D78="","",D78*Conversions!$C$40*EF!$R$20/1000000/1000)</f>
        <v/>
      </c>
      <c r="F78"/>
    </row>
    <row r="79" spans="2:6" ht="15">
      <c r="B79" s="207">
        <v>9</v>
      </c>
      <c r="C79" s="157"/>
      <c r="D79" s="211"/>
      <c r="E79" s="801" t="str">
        <f>IF(D79="","",D79*Conversions!$C$40*EF!$R$20/1000000/1000)</f>
        <v/>
      </c>
      <c r="F79"/>
    </row>
    <row r="80" spans="2:6" ht="15">
      <c r="B80" s="207">
        <v>10</v>
      </c>
      <c r="C80" s="157"/>
      <c r="D80" s="211"/>
      <c r="E80" s="801" t="str">
        <f>IF(D80="","",D80*Conversions!$C$40*EF!$R$20/1000000/1000)</f>
        <v/>
      </c>
      <c r="F80"/>
    </row>
    <row r="81" spans="2:6" ht="15">
      <c r="B81" s="207">
        <v>11</v>
      </c>
      <c r="C81" s="157"/>
      <c r="D81" s="211"/>
      <c r="E81" s="801" t="str">
        <f>IF(D81="","",D81*Conversions!$C$40*EF!$R$20/1000000/1000)</f>
        <v/>
      </c>
      <c r="F81"/>
    </row>
    <row r="82" spans="2:6" ht="15">
      <c r="B82" s="207">
        <v>12</v>
      </c>
      <c r="C82" s="157"/>
      <c r="D82" s="211"/>
      <c r="E82" s="801" t="str">
        <f>IF(D82="","",D82*Conversions!$C$40*EF!$R$20/1000000/1000)</f>
        <v/>
      </c>
      <c r="F82"/>
    </row>
    <row r="83" spans="2:6" ht="15">
      <c r="B83" s="207">
        <v>13</v>
      </c>
      <c r="C83" s="157"/>
      <c r="D83" s="211"/>
      <c r="E83" s="801" t="str">
        <f>IF(D83="","",D83*Conversions!$C$40*EF!$R$20/1000000/1000)</f>
        <v/>
      </c>
      <c r="F83"/>
    </row>
    <row r="84" spans="2:6" ht="15">
      <c r="B84" s="207">
        <v>14</v>
      </c>
      <c r="C84" s="157"/>
      <c r="D84" s="211"/>
      <c r="E84" s="801" t="str">
        <f>IF(D84="","",D84*Conversions!$C$40*EF!$R$20/1000000/1000)</f>
        <v/>
      </c>
      <c r="F84"/>
    </row>
    <row r="85" spans="2:6" ht="15">
      <c r="B85" s="207">
        <v>15</v>
      </c>
      <c r="C85" s="157"/>
      <c r="D85" s="211"/>
      <c r="E85" s="801" t="str">
        <f>IF(D85="","",D85*Conversions!$C$40*EF!$R$20/1000000/1000)</f>
        <v/>
      </c>
      <c r="F85"/>
    </row>
    <row r="86" spans="2:6" ht="15">
      <c r="B86" s="207">
        <v>16</v>
      </c>
      <c r="C86" s="157"/>
      <c r="D86" s="211"/>
      <c r="E86" s="801" t="str">
        <f>IF(D86="","",D86*Conversions!$C$40*EF!$R$20/1000000/1000)</f>
        <v/>
      </c>
      <c r="F86"/>
    </row>
    <row r="87" spans="2:6" ht="15">
      <c r="B87" s="207">
        <v>17</v>
      </c>
      <c r="C87" s="157"/>
      <c r="D87" s="211"/>
      <c r="E87" s="801" t="str">
        <f>IF(D87="","",D87*Conversions!$C$40*EF!$R$20/1000000/1000)</f>
        <v/>
      </c>
      <c r="F87"/>
    </row>
    <row r="88" spans="2:6" ht="15">
      <c r="B88" s="207">
        <v>18</v>
      </c>
      <c r="C88" s="157"/>
      <c r="D88" s="211"/>
      <c r="E88" s="801" t="str">
        <f>IF(D88="","",D88*Conversions!$C$40*EF!$R$20/1000000/1000)</f>
        <v/>
      </c>
      <c r="F88"/>
    </row>
    <row r="89" spans="2:6" ht="15">
      <c r="B89" s="207">
        <v>19</v>
      </c>
      <c r="C89" s="157"/>
      <c r="D89" s="211"/>
      <c r="E89" s="801" t="str">
        <f>IF(D89="","",D89*Conversions!$C$40*EF!$R$20/1000000/1000)</f>
        <v/>
      </c>
      <c r="F89"/>
    </row>
    <row r="90" spans="2:6" ht="15.75" thickBot="1">
      <c r="B90" s="207">
        <v>20</v>
      </c>
      <c r="C90" s="157"/>
      <c r="D90" s="211"/>
      <c r="E90" s="801" t="str">
        <f>IF(D90="","",D90*Conversions!$C$40*EF!$R$20/1000000/1000)</f>
        <v/>
      </c>
      <c r="F90"/>
    </row>
    <row r="91" spans="2:6" ht="15" thickBot="1">
      <c r="D91" s="218" t="s">
        <v>1268</v>
      </c>
      <c r="E91" s="943">
        <f>SUM(E72:E90)</f>
        <v>0</v>
      </c>
      <c r="F91"/>
    </row>
    <row r="92" spans="2:6">
      <c r="F92"/>
    </row>
    <row r="93" spans="2:6">
      <c r="F93"/>
    </row>
    <row r="94" spans="2:6">
      <c r="F94"/>
    </row>
    <row r="95" spans="2:6">
      <c r="F95"/>
    </row>
    <row r="96" spans="2:6">
      <c r="F96"/>
    </row>
    <row r="97" spans="6:6">
      <c r="F97"/>
    </row>
    <row r="98" spans="6:6">
      <c r="F98"/>
    </row>
    <row r="99" spans="6:6">
      <c r="F99"/>
    </row>
    <row r="100" spans="6:6">
      <c r="F100"/>
    </row>
    <row r="101" spans="6:6">
      <c r="F101"/>
    </row>
    <row r="102" spans="6:6">
      <c r="F102"/>
    </row>
    <row r="103" spans="6:6">
      <c r="F103"/>
    </row>
    <row r="104" spans="6:6">
      <c r="F104"/>
    </row>
    <row r="105" spans="6:6">
      <c r="F105"/>
    </row>
    <row r="106" spans="6:6">
      <c r="F106"/>
    </row>
    <row r="107" spans="6:6">
      <c r="F107"/>
    </row>
    <row r="108" spans="6:6">
      <c r="F108"/>
    </row>
    <row r="109" spans="6:6">
      <c r="F109"/>
    </row>
    <row r="110" spans="6:6">
      <c r="F110"/>
    </row>
    <row r="111" spans="6:6">
      <c r="F111"/>
    </row>
    <row r="112" spans="6:6">
      <c r="F112"/>
    </row>
    <row r="113" spans="6:6">
      <c r="F113"/>
    </row>
    <row r="114" spans="6:6">
      <c r="F114"/>
    </row>
    <row r="115" spans="6:6">
      <c r="F115"/>
    </row>
    <row r="116" spans="6:6">
      <c r="F116"/>
    </row>
    <row r="117" spans="6:6">
      <c r="F117"/>
    </row>
    <row r="118" spans="6:6">
      <c r="F118"/>
    </row>
    <row r="119" spans="6:6">
      <c r="F119"/>
    </row>
    <row r="120" spans="6:6">
      <c r="F120"/>
    </row>
    <row r="121" spans="6:6">
      <c r="F121"/>
    </row>
    <row r="122" spans="6:6">
      <c r="F122"/>
    </row>
    <row r="123" spans="6:6">
      <c r="F123"/>
    </row>
    <row r="124" spans="6:6">
      <c r="F124"/>
    </row>
    <row r="125" spans="6:6">
      <c r="F125"/>
    </row>
    <row r="126" spans="6:6">
      <c r="F126"/>
    </row>
    <row r="127" spans="6:6">
      <c r="F127"/>
    </row>
    <row r="128" spans="6:6">
      <c r="F128"/>
    </row>
    <row r="129" spans="6:6">
      <c r="F129"/>
    </row>
    <row r="130" spans="6:6">
      <c r="F130"/>
    </row>
    <row r="131" spans="6:6">
      <c r="F131"/>
    </row>
    <row r="132" spans="6:6">
      <c r="F132"/>
    </row>
    <row r="133" spans="6:6">
      <c r="F133"/>
    </row>
    <row r="134" spans="6:6">
      <c r="F134"/>
    </row>
    <row r="135" spans="6:6">
      <c r="F135"/>
    </row>
    <row r="136" spans="6:6">
      <c r="F136"/>
    </row>
    <row r="137" spans="6:6">
      <c r="F137"/>
    </row>
    <row r="138" spans="6:6">
      <c r="F138"/>
    </row>
  </sheetData>
  <sheetProtection algorithmName="SHA-512" hashValue="UdsDVvoxC6KCSTNBJctCR28wHTFLE/t9wR5H4YPY5TnIPHw7cVReJ2h4fM0aJ42mKY5mG9IQVEMVQz3vSTu48g==" saltValue="K1d5veRrnpuq3IuIGJZQ2g==" spinCount="100000" sheet="1" objects="1" scenarios="1"/>
  <mergeCells count="24">
    <mergeCell ref="D59:F59"/>
    <mergeCell ref="K59:M59"/>
    <mergeCell ref="D60:F60"/>
    <mergeCell ref="K60:M60"/>
    <mergeCell ref="D61:F61"/>
    <mergeCell ref="K61:M61"/>
    <mergeCell ref="D56:F56"/>
    <mergeCell ref="K56:M56"/>
    <mergeCell ref="D57:F57"/>
    <mergeCell ref="K57:M57"/>
    <mergeCell ref="D58:F58"/>
    <mergeCell ref="K58:M58"/>
    <mergeCell ref="D53:F53"/>
    <mergeCell ref="K53:M53"/>
    <mergeCell ref="D54:F54"/>
    <mergeCell ref="K54:M54"/>
    <mergeCell ref="D55:F55"/>
    <mergeCell ref="K55:M55"/>
    <mergeCell ref="D50:F50"/>
    <mergeCell ref="K50:M50"/>
    <mergeCell ref="D51:F51"/>
    <mergeCell ref="K51:M51"/>
    <mergeCell ref="D52:F52"/>
    <mergeCell ref="K52:M52"/>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32D49-0989-452B-8C3F-A9A64CCA3C8E}">
  <sheetPr codeName="Sheet19">
    <tabColor theme="3" tint="-0.249977111117893"/>
  </sheetPr>
  <dimension ref="A1:M155"/>
  <sheetViews>
    <sheetView showGridLines="0" zoomScale="85" zoomScaleNormal="85" workbookViewId="0"/>
  </sheetViews>
  <sheetFormatPr defaultRowHeight="14.25"/>
  <cols>
    <col min="2" max="2" width="28.125" bestFit="1" customWidth="1"/>
    <col min="3" max="3" width="38.625" customWidth="1"/>
    <col min="4" max="4" width="23.875" customWidth="1"/>
    <col min="5" max="5" width="27.125" customWidth="1"/>
    <col min="6" max="6" width="12.125" customWidth="1"/>
    <col min="7" max="7" width="16.875" customWidth="1"/>
    <col min="8" max="8" width="18.5" customWidth="1"/>
    <col min="9" max="9" width="53.125" customWidth="1"/>
    <col min="10" max="11" width="13.125" customWidth="1"/>
    <col min="12" max="12" width="49.625" customWidth="1"/>
    <col min="13" max="13" width="68.375" customWidth="1"/>
  </cols>
  <sheetData>
    <row r="1" spans="1:9" ht="20.25">
      <c r="A1" s="74" t="s">
        <v>4207</v>
      </c>
      <c r="B1" s="107"/>
      <c r="C1" s="107"/>
      <c r="D1" s="107"/>
      <c r="E1" s="107"/>
      <c r="F1" s="108"/>
      <c r="G1" s="108"/>
      <c r="H1" s="108"/>
      <c r="I1" s="108"/>
    </row>
    <row r="2" spans="1:9">
      <c r="A2" s="109" t="s">
        <v>304</v>
      </c>
      <c r="B2" s="110"/>
      <c r="C2" s="110"/>
      <c r="D2" s="110"/>
      <c r="E2" s="110"/>
      <c r="F2" s="111"/>
      <c r="G2" s="111"/>
      <c r="H2" s="111"/>
      <c r="I2" s="111"/>
    </row>
    <row r="3" spans="1:9">
      <c r="A3" s="1554" t="s">
        <v>1251</v>
      </c>
      <c r="B3" s="1554"/>
      <c r="C3" s="1554"/>
      <c r="D3" s="1554"/>
      <c r="E3" s="1554"/>
      <c r="F3" s="1554"/>
      <c r="G3" s="1554"/>
      <c r="H3" s="1554"/>
      <c r="I3" s="1554"/>
    </row>
    <row r="4" spans="1:9">
      <c r="A4" s="1554"/>
      <c r="B4" s="1554"/>
      <c r="C4" s="1554"/>
      <c r="D4" s="1554"/>
      <c r="E4" s="1554"/>
      <c r="F4" s="1554"/>
      <c r="G4" s="1554"/>
      <c r="H4" s="1554"/>
      <c r="I4" s="1554"/>
    </row>
    <row r="5" spans="1:9">
      <c r="A5" s="112" t="s">
        <v>1252</v>
      </c>
      <c r="B5" s="112"/>
      <c r="C5" s="112"/>
      <c r="D5" s="112"/>
      <c r="E5" s="112"/>
      <c r="F5" s="112"/>
      <c r="G5" s="112"/>
      <c r="H5" s="112"/>
      <c r="I5" s="112"/>
    </row>
    <row r="6" spans="1:9">
      <c r="A6" s="140" t="s">
        <v>1253</v>
      </c>
      <c r="B6" s="117"/>
      <c r="C6" s="117"/>
      <c r="D6" s="117"/>
      <c r="E6" s="141"/>
      <c r="F6" s="142"/>
      <c r="G6" s="117"/>
      <c r="H6" s="117"/>
      <c r="I6" s="117"/>
    </row>
    <row r="7" spans="1:9">
      <c r="A7" s="143" t="s">
        <v>1254</v>
      </c>
      <c r="B7" s="117"/>
      <c r="C7" s="117"/>
      <c r="D7" s="117"/>
      <c r="E7" s="141"/>
      <c r="F7" s="142"/>
      <c r="G7" s="117"/>
      <c r="H7" s="117"/>
      <c r="I7" s="117"/>
    </row>
    <row r="8" spans="1:9" ht="9" customHeight="1">
      <c r="A8" s="143"/>
      <c r="B8" s="117"/>
      <c r="C8" s="117"/>
      <c r="D8" s="117"/>
      <c r="E8" s="141"/>
      <c r="F8" s="142"/>
      <c r="G8" s="117"/>
      <c r="H8" s="117"/>
      <c r="I8" s="117"/>
    </row>
    <row r="9" spans="1:9" ht="18.75">
      <c r="A9" s="119"/>
      <c r="B9" s="830" t="s">
        <v>312</v>
      </c>
      <c r="C9" s="830" t="s">
        <v>312</v>
      </c>
      <c r="D9" s="830" t="s">
        <v>312</v>
      </c>
      <c r="E9" s="830" t="s">
        <v>312</v>
      </c>
      <c r="F9" s="830" t="s">
        <v>312</v>
      </c>
      <c r="G9" s="830" t="s">
        <v>312</v>
      </c>
      <c r="H9" s="830"/>
      <c r="I9" s="830" t="s">
        <v>312</v>
      </c>
    </row>
    <row r="10" spans="1:9" ht="45">
      <c r="A10" s="144" t="s">
        <v>1238</v>
      </c>
      <c r="B10" s="138" t="s">
        <v>319</v>
      </c>
      <c r="C10" s="138" t="s">
        <v>1255</v>
      </c>
      <c r="D10" s="145" t="s">
        <v>1256</v>
      </c>
      <c r="E10" s="145" t="s">
        <v>1257</v>
      </c>
      <c r="F10" s="145" t="s">
        <v>1258</v>
      </c>
      <c r="G10" s="145" t="s">
        <v>1259</v>
      </c>
      <c r="H10" s="145" t="s">
        <v>322</v>
      </c>
      <c r="I10" s="145" t="s">
        <v>1260</v>
      </c>
    </row>
    <row r="11" spans="1:9" ht="15.75">
      <c r="A11" s="334" t="s">
        <v>1727</v>
      </c>
      <c r="B11" s="329"/>
      <c r="C11" s="329"/>
      <c r="D11" s="330"/>
      <c r="E11" s="330"/>
      <c r="F11" s="330"/>
      <c r="G11" s="330"/>
      <c r="H11" s="330"/>
      <c r="I11" s="330"/>
    </row>
    <row r="12" spans="1:9" ht="15">
      <c r="A12" s="146">
        <v>1</v>
      </c>
      <c r="B12" s="147" t="s">
        <v>1242</v>
      </c>
      <c r="C12" s="147" t="s">
        <v>1261</v>
      </c>
      <c r="D12" s="147" t="s">
        <v>1262</v>
      </c>
      <c r="E12" s="327">
        <v>20000</v>
      </c>
      <c r="F12" s="149" t="s">
        <v>1263</v>
      </c>
      <c r="G12" s="149">
        <v>0.41010000000000002</v>
      </c>
      <c r="H12" s="336">
        <f>G12*E12/1000</f>
        <v>8.202</v>
      </c>
      <c r="I12" s="149" t="s">
        <v>1264</v>
      </c>
    </row>
    <row r="13" spans="1:9" ht="15">
      <c r="A13" s="146">
        <v>2</v>
      </c>
      <c r="B13" s="150"/>
      <c r="C13" s="150"/>
      <c r="D13" s="150"/>
      <c r="E13" s="328"/>
      <c r="F13" s="151"/>
      <c r="G13" s="152"/>
      <c r="H13" s="337" t="str">
        <f>IF(ISBLANK(E13),"",G13*E13/1000)</f>
        <v/>
      </c>
      <c r="I13" s="153"/>
    </row>
    <row r="14" spans="1:9" ht="15">
      <c r="A14" s="146">
        <v>3</v>
      </c>
      <c r="B14" s="150"/>
      <c r="C14" s="150"/>
      <c r="D14" s="150"/>
      <c r="E14" s="328"/>
      <c r="F14" s="151"/>
      <c r="G14" s="152"/>
      <c r="H14" s="337" t="str">
        <f t="shared" ref="H14:H19" si="0">IF(ISBLANK(E14),"",G14*E14/1000)</f>
        <v/>
      </c>
      <c r="I14" s="153"/>
    </row>
    <row r="15" spans="1:9" ht="15">
      <c r="A15" s="146">
        <v>4</v>
      </c>
      <c r="B15" s="150"/>
      <c r="C15" s="150"/>
      <c r="D15" s="154"/>
      <c r="E15" s="150"/>
      <c r="F15" s="154"/>
      <c r="G15" s="152"/>
      <c r="H15" s="337" t="str">
        <f t="shared" si="0"/>
        <v/>
      </c>
      <c r="I15" s="153"/>
    </row>
    <row r="16" spans="1:9" ht="15">
      <c r="A16" s="146">
        <v>5</v>
      </c>
      <c r="B16" s="150"/>
      <c r="C16" s="150"/>
      <c r="D16" s="154"/>
      <c r="E16" s="150"/>
      <c r="F16" s="154"/>
      <c r="G16" s="152"/>
      <c r="H16" s="337" t="str">
        <f t="shared" si="0"/>
        <v/>
      </c>
      <c r="I16" s="153"/>
    </row>
    <row r="17" spans="1:9" ht="15">
      <c r="A17" s="146">
        <v>6</v>
      </c>
      <c r="B17" s="150"/>
      <c r="C17" s="150"/>
      <c r="D17" s="154"/>
      <c r="E17" s="150"/>
      <c r="F17" s="154"/>
      <c r="G17" s="152"/>
      <c r="H17" s="337" t="str">
        <f t="shared" si="0"/>
        <v/>
      </c>
      <c r="I17" s="153"/>
    </row>
    <row r="18" spans="1:9" ht="15">
      <c r="A18" s="146">
        <v>7</v>
      </c>
      <c r="B18" s="150"/>
      <c r="C18" s="150"/>
      <c r="D18" s="154"/>
      <c r="E18" s="150"/>
      <c r="F18" s="154"/>
      <c r="G18" s="152"/>
      <c r="H18" s="337" t="str">
        <f t="shared" si="0"/>
        <v/>
      </c>
      <c r="I18" s="153"/>
    </row>
    <row r="19" spans="1:9" ht="15">
      <c r="A19" s="146">
        <v>8</v>
      </c>
      <c r="B19" s="150"/>
      <c r="C19" s="150"/>
      <c r="D19" s="154"/>
      <c r="E19" s="150"/>
      <c r="F19" s="154"/>
      <c r="G19" s="152"/>
      <c r="H19" s="337" t="str">
        <f t="shared" si="0"/>
        <v/>
      </c>
      <c r="I19" s="153"/>
    </row>
    <row r="20" spans="1:9" ht="15.75">
      <c r="A20" s="334" t="s">
        <v>1730</v>
      </c>
      <c r="B20" s="329"/>
      <c r="C20" s="329"/>
      <c r="D20" s="339" t="s">
        <v>1266</v>
      </c>
      <c r="E20" s="339" t="s">
        <v>1266</v>
      </c>
      <c r="F20" s="339" t="s">
        <v>1266</v>
      </c>
      <c r="G20" s="339" t="s">
        <v>1266</v>
      </c>
      <c r="H20" s="338" t="s">
        <v>312</v>
      </c>
      <c r="I20" s="330"/>
    </row>
    <row r="21" spans="1:9" ht="15">
      <c r="A21" s="207">
        <v>1</v>
      </c>
      <c r="B21" s="238" t="s">
        <v>1265</v>
      </c>
      <c r="C21" s="238" t="s">
        <v>1731</v>
      </c>
      <c r="D21" s="721"/>
      <c r="E21" s="722"/>
      <c r="F21" s="721"/>
      <c r="G21" s="723"/>
      <c r="H21" s="724">
        <v>15000</v>
      </c>
      <c r="I21" s="724" t="s">
        <v>1267</v>
      </c>
    </row>
    <row r="22" spans="1:9" ht="15">
      <c r="A22" s="146">
        <v>2</v>
      </c>
      <c r="B22" s="147"/>
      <c r="C22" s="147"/>
      <c r="D22" s="331"/>
      <c r="E22" s="332"/>
      <c r="F22" s="331"/>
      <c r="G22" s="333"/>
      <c r="H22" s="340"/>
      <c r="I22" s="149"/>
    </row>
    <row r="23" spans="1:9" ht="15">
      <c r="A23" s="146">
        <v>3</v>
      </c>
      <c r="B23" s="147"/>
      <c r="C23" s="147"/>
      <c r="D23" s="331"/>
      <c r="E23" s="332"/>
      <c r="F23" s="331"/>
      <c r="G23" s="333"/>
      <c r="H23" s="340"/>
      <c r="I23" s="149"/>
    </row>
    <row r="24" spans="1:9" ht="15">
      <c r="A24" s="146">
        <v>4</v>
      </c>
      <c r="B24" s="147"/>
      <c r="C24" s="147"/>
      <c r="D24" s="331"/>
      <c r="E24" s="332"/>
      <c r="F24" s="331"/>
      <c r="G24" s="333"/>
      <c r="H24" s="340"/>
      <c r="I24" s="149"/>
    </row>
    <row r="25" spans="1:9" ht="15">
      <c r="A25" s="146">
        <v>5</v>
      </c>
      <c r="B25" s="150"/>
      <c r="C25" s="150"/>
      <c r="D25" s="331"/>
      <c r="E25" s="332"/>
      <c r="F25" s="331"/>
      <c r="G25" s="333"/>
      <c r="H25" s="153"/>
      <c r="I25" s="153"/>
    </row>
    <row r="26" spans="1:9" ht="15.75" thickBot="1">
      <c r="A26" s="146">
        <v>6</v>
      </c>
      <c r="B26" s="150"/>
      <c r="C26" s="150"/>
      <c r="D26" s="331"/>
      <c r="E26" s="332"/>
      <c r="F26" s="331"/>
      <c r="G26" s="333"/>
      <c r="H26" s="153"/>
      <c r="I26" s="153"/>
    </row>
    <row r="27" spans="1:9" ht="15" thickBot="1">
      <c r="A27" s="117"/>
      <c r="B27" s="117"/>
      <c r="C27" s="117"/>
      <c r="D27" s="117"/>
      <c r="E27" s="117"/>
      <c r="F27" s="117"/>
      <c r="G27" s="155" t="s">
        <v>1268</v>
      </c>
      <c r="H27" s="907">
        <f>SUM(H13:H19,H22:H26)</f>
        <v>0</v>
      </c>
      <c r="I27" s="143"/>
    </row>
    <row r="28" spans="1:9">
      <c r="A28" s="117"/>
      <c r="B28" s="117"/>
      <c r="C28" s="117"/>
      <c r="D28" s="117"/>
      <c r="E28" s="117"/>
      <c r="F28" s="117"/>
      <c r="G28" s="117"/>
      <c r="H28" s="117"/>
      <c r="I28" s="117"/>
    </row>
    <row r="29" spans="1:9">
      <c r="A29" s="140" t="s">
        <v>1269</v>
      </c>
      <c r="B29" s="117"/>
      <c r="C29" s="117"/>
      <c r="D29" s="117"/>
      <c r="E29" s="117"/>
      <c r="F29" s="141"/>
      <c r="G29" s="142"/>
      <c r="H29" s="117"/>
      <c r="I29" s="117"/>
    </row>
    <row r="30" spans="1:9">
      <c r="A30" s="140" t="s">
        <v>1270</v>
      </c>
      <c r="B30" s="117"/>
      <c r="C30" s="117"/>
      <c r="D30" s="117"/>
      <c r="E30" s="117"/>
      <c r="F30" s="141"/>
      <c r="G30" s="142"/>
      <c r="H30" s="117"/>
      <c r="I30" s="117"/>
    </row>
    <row r="31" spans="1:9" ht="9" customHeight="1">
      <c r="A31" s="140"/>
      <c r="B31" s="117"/>
      <c r="C31" s="117"/>
      <c r="D31" s="117"/>
      <c r="E31" s="117"/>
      <c r="F31" s="141"/>
      <c r="G31" s="142"/>
      <c r="H31" s="117"/>
      <c r="I31" s="117"/>
    </row>
    <row r="32" spans="1:9">
      <c r="A32" s="117"/>
      <c r="B32" s="830" t="s">
        <v>312</v>
      </c>
      <c r="C32" s="830" t="s">
        <v>312</v>
      </c>
      <c r="D32" s="830" t="s">
        <v>312</v>
      </c>
      <c r="E32" s="830" t="s">
        <v>312</v>
      </c>
      <c r="F32" s="830" t="s">
        <v>312</v>
      </c>
      <c r="G32" s="831" t="s">
        <v>312</v>
      </c>
      <c r="H32" s="830"/>
      <c r="I32" s="830" t="s">
        <v>312</v>
      </c>
    </row>
    <row r="33" spans="1:9" ht="45">
      <c r="A33" s="144" t="s">
        <v>1238</v>
      </c>
      <c r="B33" s="138" t="s">
        <v>319</v>
      </c>
      <c r="C33" s="138" t="s">
        <v>1271</v>
      </c>
      <c r="D33" s="156" t="s">
        <v>1272</v>
      </c>
      <c r="E33" s="144" t="s">
        <v>1273</v>
      </c>
      <c r="F33" s="144" t="s">
        <v>1274</v>
      </c>
      <c r="G33" s="145" t="s">
        <v>1259</v>
      </c>
      <c r="H33" s="145" t="s">
        <v>322</v>
      </c>
      <c r="I33" s="145" t="s">
        <v>1260</v>
      </c>
    </row>
    <row r="34" spans="1:9" ht="15.75">
      <c r="A34" s="334" t="s">
        <v>1727</v>
      </c>
      <c r="B34" s="329"/>
      <c r="C34" s="329"/>
      <c r="D34" s="330"/>
      <c r="E34" s="330"/>
      <c r="F34" s="330"/>
      <c r="G34" s="330"/>
      <c r="H34" s="330"/>
      <c r="I34" s="330"/>
    </row>
    <row r="35" spans="1:9" ht="15">
      <c r="A35" s="207">
        <v>1</v>
      </c>
      <c r="B35" s="238" t="s">
        <v>1242</v>
      </c>
      <c r="C35" s="238" t="s">
        <v>30</v>
      </c>
      <c r="D35" s="238" t="s">
        <v>31</v>
      </c>
      <c r="E35" s="725">
        <v>10</v>
      </c>
      <c r="F35" s="238" t="s">
        <v>1275</v>
      </c>
      <c r="G35" s="238">
        <v>0.82799999999999996</v>
      </c>
      <c r="H35" s="725">
        <f>G35*E35/1000</f>
        <v>8.2799999999999992E-3</v>
      </c>
      <c r="I35" s="238" t="s">
        <v>1276</v>
      </c>
    </row>
    <row r="36" spans="1:9" ht="15">
      <c r="A36" s="146">
        <v>2</v>
      </c>
      <c r="B36" s="157"/>
      <c r="C36" s="150"/>
      <c r="D36" s="150"/>
      <c r="E36" s="166"/>
      <c r="F36" s="158"/>
      <c r="G36" s="158"/>
      <c r="H36" s="337" t="str">
        <f>IF(ISBLANK(E36),"",G36*E36/1000)</f>
        <v/>
      </c>
      <c r="I36" s="159"/>
    </row>
    <row r="37" spans="1:9" ht="15">
      <c r="A37" s="146">
        <v>3</v>
      </c>
      <c r="B37" s="157"/>
      <c r="C37" s="150"/>
      <c r="D37" s="150"/>
      <c r="E37" s="166"/>
      <c r="F37" s="158"/>
      <c r="G37" s="158"/>
      <c r="H37" s="337" t="str">
        <f t="shared" ref="H37:H42" si="1">IF(ISBLANK(E37),"",G37*E37/1000)</f>
        <v/>
      </c>
      <c r="I37" s="159"/>
    </row>
    <row r="38" spans="1:9" ht="15">
      <c r="A38" s="146">
        <v>4</v>
      </c>
      <c r="B38" s="157"/>
      <c r="C38" s="150"/>
      <c r="D38" s="150"/>
      <c r="E38" s="166"/>
      <c r="F38" s="158"/>
      <c r="G38" s="158"/>
      <c r="H38" s="337" t="str">
        <f t="shared" si="1"/>
        <v/>
      </c>
      <c r="I38" s="159"/>
    </row>
    <row r="39" spans="1:9" ht="15">
      <c r="A39" s="146">
        <v>5</v>
      </c>
      <c r="B39" s="157"/>
      <c r="C39" s="150"/>
      <c r="D39" s="150"/>
      <c r="E39" s="166"/>
      <c r="F39" s="158"/>
      <c r="G39" s="158"/>
      <c r="H39" s="337" t="str">
        <f t="shared" si="1"/>
        <v/>
      </c>
      <c r="I39" s="159"/>
    </row>
    <row r="40" spans="1:9" ht="15">
      <c r="A40" s="146">
        <v>6</v>
      </c>
      <c r="B40" s="157"/>
      <c r="C40" s="150"/>
      <c r="D40" s="150"/>
      <c r="E40" s="166"/>
      <c r="F40" s="158"/>
      <c r="G40" s="158"/>
      <c r="H40" s="337" t="str">
        <f t="shared" si="1"/>
        <v/>
      </c>
      <c r="I40" s="159"/>
    </row>
    <row r="41" spans="1:9" ht="15">
      <c r="A41" s="146">
        <v>7</v>
      </c>
      <c r="B41" s="157"/>
      <c r="C41" s="150"/>
      <c r="D41" s="150"/>
      <c r="E41" s="166"/>
      <c r="F41" s="158"/>
      <c r="G41" s="158"/>
      <c r="H41" s="337" t="str">
        <f t="shared" si="1"/>
        <v/>
      </c>
      <c r="I41" s="159"/>
    </row>
    <row r="42" spans="1:9" ht="15">
      <c r="A42" s="146">
        <v>8</v>
      </c>
      <c r="B42" s="157"/>
      <c r="C42" s="150"/>
      <c r="D42" s="150"/>
      <c r="E42" s="166"/>
      <c r="F42" s="158"/>
      <c r="G42" s="158"/>
      <c r="H42" s="337" t="str">
        <f t="shared" si="1"/>
        <v/>
      </c>
      <c r="I42" s="159"/>
    </row>
    <row r="43" spans="1:9" ht="15.75">
      <c r="A43" s="334" t="s">
        <v>1730</v>
      </c>
      <c r="B43" s="329"/>
      <c r="C43" s="329"/>
      <c r="D43" s="339" t="s">
        <v>1266</v>
      </c>
      <c r="E43" s="339" t="s">
        <v>1266</v>
      </c>
      <c r="F43" s="339" t="s">
        <v>1266</v>
      </c>
      <c r="G43" s="339" t="s">
        <v>1266</v>
      </c>
      <c r="H43" s="338" t="s">
        <v>312</v>
      </c>
      <c r="I43" s="330"/>
    </row>
    <row r="44" spans="1:9" ht="15">
      <c r="A44" s="207">
        <v>1</v>
      </c>
      <c r="B44" s="238" t="s">
        <v>1265</v>
      </c>
      <c r="C44" s="238" t="s">
        <v>1732</v>
      </c>
      <c r="D44" s="721"/>
      <c r="E44" s="722"/>
      <c r="F44" s="721"/>
      <c r="G44" s="723"/>
      <c r="H44" s="724">
        <v>2500</v>
      </c>
      <c r="I44" s="724" t="s">
        <v>1733</v>
      </c>
    </row>
    <row r="45" spans="1:9" ht="15">
      <c r="A45" s="146">
        <v>2</v>
      </c>
      <c r="B45" s="147"/>
      <c r="C45" s="147"/>
      <c r="D45" s="331"/>
      <c r="E45" s="332"/>
      <c r="F45" s="331"/>
      <c r="G45" s="333"/>
      <c r="H45" s="340"/>
      <c r="I45" s="149"/>
    </row>
    <row r="46" spans="1:9" ht="15">
      <c r="A46" s="146">
        <v>3</v>
      </c>
      <c r="B46" s="147"/>
      <c r="C46" s="147"/>
      <c r="D46" s="331"/>
      <c r="E46" s="332"/>
      <c r="F46" s="331"/>
      <c r="G46" s="333"/>
      <c r="H46" s="340"/>
      <c r="I46" s="149"/>
    </row>
    <row r="47" spans="1:9" ht="15">
      <c r="A47" s="146">
        <v>4</v>
      </c>
      <c r="B47" s="147"/>
      <c r="C47" s="147"/>
      <c r="D47" s="331"/>
      <c r="E47" s="332"/>
      <c r="F47" s="331"/>
      <c r="G47" s="333"/>
      <c r="H47" s="340"/>
      <c r="I47" s="149"/>
    </row>
    <row r="48" spans="1:9" ht="15">
      <c r="A48" s="146">
        <v>5</v>
      </c>
      <c r="B48" s="150"/>
      <c r="C48" s="150"/>
      <c r="D48" s="331"/>
      <c r="E48" s="332"/>
      <c r="F48" s="331"/>
      <c r="G48" s="333"/>
      <c r="H48" s="340"/>
      <c r="I48" s="153"/>
    </row>
    <row r="49" spans="1:10" ht="15.75" thickBot="1">
      <c r="A49" s="146">
        <v>6</v>
      </c>
      <c r="B49" s="150"/>
      <c r="C49" s="150"/>
      <c r="D49" s="331"/>
      <c r="E49" s="332"/>
      <c r="F49" s="331"/>
      <c r="G49" s="333"/>
      <c r="H49" s="340"/>
      <c r="I49" s="153"/>
    </row>
    <row r="50" spans="1:10" ht="15.75" thickBot="1">
      <c r="A50" s="160"/>
      <c r="B50" s="117"/>
      <c r="C50" s="161"/>
      <c r="D50" s="161"/>
      <c r="E50" s="162"/>
      <c r="F50" s="162"/>
      <c r="G50" s="155" t="s">
        <v>1268</v>
      </c>
      <c r="H50" s="906">
        <f>SUM(H36:H42,H45:H49)</f>
        <v>0</v>
      </c>
      <c r="I50" s="163"/>
    </row>
    <row r="51" spans="1:10" ht="15">
      <c r="A51" s="160"/>
      <c r="B51" s="117"/>
      <c r="C51" s="161"/>
      <c r="D51" s="161"/>
      <c r="E51" s="162"/>
      <c r="F51" s="162"/>
      <c r="G51" s="162"/>
      <c r="H51" s="163"/>
      <c r="I51" s="163"/>
    </row>
    <row r="52" spans="1:10" ht="15">
      <c r="A52" s="160"/>
      <c r="B52" s="117"/>
      <c r="C52" s="161"/>
      <c r="D52" s="161"/>
      <c r="E52" s="162"/>
      <c r="F52" s="162"/>
      <c r="G52" s="162"/>
      <c r="H52" s="163"/>
      <c r="I52" s="163"/>
    </row>
    <row r="53" spans="1:10">
      <c r="A53" s="140" t="s">
        <v>1277</v>
      </c>
      <c r="B53" s="117"/>
      <c r="C53" s="117"/>
      <c r="D53" s="117"/>
      <c r="E53" s="141"/>
      <c r="F53" s="142"/>
      <c r="G53" s="117"/>
      <c r="H53" s="117"/>
      <c r="I53" s="117"/>
    </row>
    <row r="54" spans="1:10">
      <c r="A54" s="121" t="s">
        <v>1237</v>
      </c>
      <c r="B54" s="117"/>
      <c r="C54" s="117"/>
      <c r="D54" s="117"/>
      <c r="E54" s="141"/>
      <c r="F54" s="142"/>
      <c r="G54" s="117"/>
      <c r="H54" s="117"/>
      <c r="I54" s="117"/>
    </row>
    <row r="55" spans="1:10">
      <c r="A55" s="143" t="s">
        <v>1254</v>
      </c>
      <c r="B55" s="117"/>
      <c r="C55" s="117"/>
      <c r="D55" s="117"/>
      <c r="E55" s="141"/>
      <c r="F55" s="142"/>
      <c r="G55" s="117"/>
      <c r="H55" s="117"/>
      <c r="I55" s="117"/>
    </row>
    <row r="56" spans="1:10" ht="9" customHeight="1">
      <c r="A56" s="143"/>
      <c r="B56" s="117"/>
      <c r="C56" s="117"/>
      <c r="D56" s="117"/>
      <c r="E56" s="141"/>
      <c r="F56" s="142"/>
      <c r="G56" s="117"/>
      <c r="H56" s="117"/>
      <c r="I56" s="117"/>
    </row>
    <row r="57" spans="1:10" ht="15">
      <c r="A57" s="120"/>
      <c r="B57" s="122" t="s">
        <v>312</v>
      </c>
      <c r="C57" s="122" t="s">
        <v>312</v>
      </c>
      <c r="D57" s="122" t="s">
        <v>312</v>
      </c>
      <c r="E57" s="122" t="s">
        <v>312</v>
      </c>
      <c r="F57" s="122" t="s">
        <v>312</v>
      </c>
      <c r="G57" s="122" t="s">
        <v>312</v>
      </c>
      <c r="H57" s="122"/>
      <c r="I57" s="122" t="s">
        <v>312</v>
      </c>
    </row>
    <row r="58" spans="1:10" ht="45">
      <c r="A58" s="144" t="s">
        <v>1238</v>
      </c>
      <c r="B58" s="138" t="s">
        <v>319</v>
      </c>
      <c r="C58" s="138" t="s">
        <v>1278</v>
      </c>
      <c r="D58" s="145" t="s">
        <v>1256</v>
      </c>
      <c r="E58" s="145" t="s">
        <v>1257</v>
      </c>
      <c r="F58" s="145" t="s">
        <v>1258</v>
      </c>
      <c r="G58" s="145" t="s">
        <v>1259</v>
      </c>
      <c r="H58" s="145" t="s">
        <v>322</v>
      </c>
      <c r="I58" s="145" t="s">
        <v>1260</v>
      </c>
      <c r="J58" s="164" t="s">
        <v>1279</v>
      </c>
    </row>
    <row r="59" spans="1:10" ht="15.75">
      <c r="A59" s="334" t="s">
        <v>1727</v>
      </c>
      <c r="B59" s="329"/>
      <c r="C59" s="329"/>
      <c r="D59" s="330"/>
      <c r="E59" s="330"/>
      <c r="F59" s="330"/>
      <c r="G59" s="330"/>
      <c r="H59" s="330"/>
      <c r="I59" s="330"/>
    </row>
    <row r="60" spans="1:10" ht="15">
      <c r="A60" s="207">
        <v>1</v>
      </c>
      <c r="B60" s="238" t="s">
        <v>1280</v>
      </c>
      <c r="C60" s="238" t="s">
        <v>21</v>
      </c>
      <c r="D60" s="238" t="s">
        <v>1266</v>
      </c>
      <c r="E60" s="725">
        <v>2300</v>
      </c>
      <c r="F60" s="238" t="s">
        <v>1266</v>
      </c>
      <c r="G60" s="238">
        <v>0.6</v>
      </c>
      <c r="H60" s="725">
        <f>G60*E60/1000</f>
        <v>1.38</v>
      </c>
      <c r="I60" s="238" t="s">
        <v>1735</v>
      </c>
      <c r="J60" s="2" t="s">
        <v>1281</v>
      </c>
    </row>
    <row r="61" spans="1:10" ht="15">
      <c r="A61" s="146">
        <v>2</v>
      </c>
      <c r="B61" s="150"/>
      <c r="C61" s="150"/>
      <c r="D61" s="165"/>
      <c r="E61" s="150"/>
      <c r="F61" s="165"/>
      <c r="G61" s="166"/>
      <c r="H61" s="337" t="str">
        <f t="shared" ref="H61:H68" si="2">IF(ISBLANK(E61),"",G61*E61/1000)</f>
        <v/>
      </c>
      <c r="I61" s="167"/>
      <c r="J61" t="s">
        <v>1282</v>
      </c>
    </row>
    <row r="62" spans="1:10" ht="15">
      <c r="A62" s="146">
        <v>3</v>
      </c>
      <c r="B62" s="150"/>
      <c r="C62" s="150"/>
      <c r="D62" s="165"/>
      <c r="E62" s="150"/>
      <c r="F62" s="165"/>
      <c r="G62" s="166"/>
      <c r="H62" s="337" t="str">
        <f t="shared" si="2"/>
        <v/>
      </c>
      <c r="I62" s="167"/>
    </row>
    <row r="63" spans="1:10" ht="15">
      <c r="A63" s="146">
        <v>4</v>
      </c>
      <c r="B63" s="150"/>
      <c r="C63" s="150"/>
      <c r="D63" s="165"/>
      <c r="E63" s="150"/>
      <c r="F63" s="165"/>
      <c r="G63" s="166"/>
      <c r="H63" s="337" t="str">
        <f t="shared" si="2"/>
        <v/>
      </c>
      <c r="I63" s="167"/>
    </row>
    <row r="64" spans="1:10" ht="15">
      <c r="A64" s="146">
        <v>5</v>
      </c>
      <c r="B64" s="150"/>
      <c r="C64" s="150"/>
      <c r="D64" s="165"/>
      <c r="E64" s="150"/>
      <c r="F64" s="165"/>
      <c r="G64" s="166"/>
      <c r="H64" s="337" t="str">
        <f t="shared" si="2"/>
        <v/>
      </c>
      <c r="I64" s="167"/>
    </row>
    <row r="65" spans="1:9" ht="15">
      <c r="A65" s="146">
        <v>6</v>
      </c>
      <c r="B65" s="150"/>
      <c r="C65" s="150"/>
      <c r="D65" s="165"/>
      <c r="E65" s="150"/>
      <c r="F65" s="165"/>
      <c r="G65" s="166"/>
      <c r="H65" s="337" t="str">
        <f t="shared" si="2"/>
        <v/>
      </c>
      <c r="I65" s="167"/>
    </row>
    <row r="66" spans="1:9" ht="15">
      <c r="A66" s="146">
        <v>7</v>
      </c>
      <c r="B66" s="150"/>
      <c r="C66" s="150"/>
      <c r="D66" s="165"/>
      <c r="E66" s="150"/>
      <c r="F66" s="165"/>
      <c r="G66" s="166"/>
      <c r="H66" s="337" t="str">
        <f t="shared" si="2"/>
        <v/>
      </c>
      <c r="I66" s="167"/>
    </row>
    <row r="67" spans="1:9" ht="15">
      <c r="A67" s="146">
        <v>8</v>
      </c>
      <c r="B67" s="150"/>
      <c r="C67" s="150"/>
      <c r="D67" s="165"/>
      <c r="E67" s="150"/>
      <c r="F67" s="165"/>
      <c r="G67" s="166"/>
      <c r="H67" s="337" t="str">
        <f t="shared" si="2"/>
        <v/>
      </c>
      <c r="I67" s="167"/>
    </row>
    <row r="68" spans="1:9" ht="15">
      <c r="A68" s="146"/>
      <c r="B68" s="150"/>
      <c r="C68" s="150"/>
      <c r="D68" s="165"/>
      <c r="E68" s="150"/>
      <c r="F68" s="165"/>
      <c r="G68" s="166"/>
      <c r="H68" s="337" t="str">
        <f t="shared" si="2"/>
        <v/>
      </c>
      <c r="I68" s="167"/>
    </row>
    <row r="69" spans="1:9" ht="15.75">
      <c r="A69" s="334" t="s">
        <v>1730</v>
      </c>
      <c r="B69" s="329"/>
      <c r="C69" s="329"/>
      <c r="D69" s="339" t="s">
        <v>1266</v>
      </c>
      <c r="E69" s="339" t="s">
        <v>1266</v>
      </c>
      <c r="F69" s="339" t="s">
        <v>1266</v>
      </c>
      <c r="G69" s="339" t="s">
        <v>1266</v>
      </c>
      <c r="H69" s="338" t="s">
        <v>312</v>
      </c>
      <c r="I69" s="330"/>
    </row>
    <row r="70" spans="1:9" ht="15">
      <c r="A70" s="207">
        <v>1</v>
      </c>
      <c r="B70" s="238" t="s">
        <v>1265</v>
      </c>
      <c r="C70" s="238" t="s">
        <v>1732</v>
      </c>
      <c r="D70" s="721"/>
      <c r="E70" s="722"/>
      <c r="F70" s="721"/>
      <c r="G70" s="723"/>
      <c r="H70" s="724">
        <v>2500</v>
      </c>
      <c r="I70" s="724" t="s">
        <v>1734</v>
      </c>
    </row>
    <row r="71" spans="1:9" ht="15">
      <c r="A71" s="146">
        <v>2</v>
      </c>
      <c r="B71" s="147"/>
      <c r="C71" s="147"/>
      <c r="D71" s="331"/>
      <c r="E71" s="332"/>
      <c r="F71" s="331"/>
      <c r="G71" s="333"/>
      <c r="H71" s="340"/>
      <c r="I71" s="149"/>
    </row>
    <row r="72" spans="1:9" ht="15">
      <c r="A72" s="146">
        <v>3</v>
      </c>
      <c r="B72" s="147"/>
      <c r="C72" s="147"/>
      <c r="D72" s="331"/>
      <c r="E72" s="332"/>
      <c r="F72" s="331"/>
      <c r="G72" s="333"/>
      <c r="H72" s="340"/>
      <c r="I72" s="149"/>
    </row>
    <row r="73" spans="1:9" ht="15">
      <c r="A73" s="146">
        <v>4</v>
      </c>
      <c r="B73" s="147"/>
      <c r="C73" s="147"/>
      <c r="D73" s="331"/>
      <c r="E73" s="332"/>
      <c r="F73" s="331"/>
      <c r="G73" s="333"/>
      <c r="H73" s="340"/>
      <c r="I73" s="149"/>
    </row>
    <row r="74" spans="1:9" ht="15">
      <c r="A74" s="146">
        <v>5</v>
      </c>
      <c r="B74" s="150"/>
      <c r="C74" s="150"/>
      <c r="D74" s="331"/>
      <c r="E74" s="332"/>
      <c r="F74" s="331"/>
      <c r="G74" s="333"/>
      <c r="H74" s="153"/>
      <c r="I74" s="153"/>
    </row>
    <row r="75" spans="1:9" ht="15.75" thickBot="1">
      <c r="A75" s="146">
        <v>6</v>
      </c>
      <c r="B75" s="150"/>
      <c r="C75" s="150"/>
      <c r="D75" s="331"/>
      <c r="E75" s="332"/>
      <c r="F75" s="331"/>
      <c r="G75" s="333"/>
      <c r="H75" s="153"/>
      <c r="I75" s="153"/>
    </row>
    <row r="76" spans="1:9" ht="15" thickBot="1">
      <c r="A76" s="117"/>
      <c r="B76" s="117"/>
      <c r="C76" s="117"/>
      <c r="D76" s="117"/>
      <c r="E76" s="117"/>
      <c r="F76" s="117"/>
      <c r="G76" s="155" t="s">
        <v>1268</v>
      </c>
      <c r="H76" s="906">
        <f>SUM(H61:H68,H71:H75)</f>
        <v>0</v>
      </c>
      <c r="I76" s="143"/>
    </row>
    <row r="77" spans="1:9">
      <c r="A77" s="117"/>
      <c r="B77" s="117"/>
      <c r="C77" s="117"/>
      <c r="D77" s="117"/>
      <c r="E77" s="117"/>
      <c r="F77" s="117"/>
      <c r="G77" s="168"/>
      <c r="H77" s="163"/>
      <c r="I77" s="143"/>
    </row>
    <row r="78" spans="1:9">
      <c r="A78" s="140" t="s">
        <v>4204</v>
      </c>
      <c r="B78" s="117"/>
      <c r="C78" s="117"/>
      <c r="D78" s="117"/>
      <c r="E78" s="141"/>
      <c r="F78" s="142"/>
      <c r="G78" s="117"/>
      <c r="H78" s="117"/>
      <c r="I78" s="117"/>
    </row>
    <row r="79" spans="1:9">
      <c r="A79" s="121" t="s">
        <v>1237</v>
      </c>
      <c r="B79" s="117"/>
      <c r="C79" s="117"/>
      <c r="D79" s="117"/>
      <c r="E79" s="141"/>
      <c r="F79" s="142"/>
      <c r="G79" s="117"/>
      <c r="H79" s="117"/>
      <c r="I79" s="117"/>
    </row>
    <row r="80" spans="1:9">
      <c r="A80" s="236" t="s">
        <v>4205</v>
      </c>
      <c r="E80" s="246"/>
      <c r="F80" s="13"/>
    </row>
    <row r="81" spans="1:13" ht="9" customHeight="1">
      <c r="A81" s="121"/>
      <c r="B81" s="117"/>
      <c r="C81" s="117"/>
      <c r="D81" s="117"/>
      <c r="E81" s="141"/>
      <c r="F81" s="142"/>
      <c r="G81" s="117"/>
      <c r="H81" s="117"/>
      <c r="I81" s="117"/>
    </row>
    <row r="82" spans="1:13" ht="15.75">
      <c r="A82" s="169"/>
      <c r="B82" s="170" t="s">
        <v>312</v>
      </c>
      <c r="C82" s="170" t="s">
        <v>312</v>
      </c>
      <c r="D82" s="170" t="s">
        <v>312</v>
      </c>
      <c r="E82" s="170" t="s">
        <v>312</v>
      </c>
      <c r="F82" s="170" t="s">
        <v>312</v>
      </c>
      <c r="G82" s="117"/>
      <c r="H82" s="117"/>
      <c r="I82" s="117"/>
    </row>
    <row r="83" spans="1:13" ht="45">
      <c r="A83" s="144" t="s">
        <v>1238</v>
      </c>
      <c r="B83" s="138" t="s">
        <v>319</v>
      </c>
      <c r="C83" s="156" t="s">
        <v>4333</v>
      </c>
      <c r="D83" s="215" t="s">
        <v>4334</v>
      </c>
      <c r="E83" s="215" t="s">
        <v>4335</v>
      </c>
      <c r="F83" s="156" t="s">
        <v>1283</v>
      </c>
      <c r="G83" s="156" t="s">
        <v>1284</v>
      </c>
      <c r="H83" s="156" t="s">
        <v>322</v>
      </c>
      <c r="I83" s="117"/>
    </row>
    <row r="84" spans="1:13" ht="15">
      <c r="A84" s="146">
        <v>1</v>
      </c>
      <c r="B84" s="147" t="s">
        <v>1242</v>
      </c>
      <c r="C84" s="147" t="s">
        <v>270</v>
      </c>
      <c r="D84" s="147" t="s">
        <v>284</v>
      </c>
      <c r="E84" s="147" t="s">
        <v>254</v>
      </c>
      <c r="F84" s="148">
        <v>50000</v>
      </c>
      <c r="G84" s="172" t="str">
        <f>IFERROR(IF(C84="Cars_by_market_segment",VLOOKUP(_xlfn.CONCAT(C84,D84,E84),'DESNZ Cat 6-9'!$B$18:$M$82,12,FALSE)+VLOOKUP(_xlfn.CONCAT(C84,D84,E84),'DESNZ Cat 6-9'!$B$18:$M$82,13,FALSE),VLOOKUP(C84,'DESNZ Cat 6-9'!$Q$41:$S$44,2,FALSE)+VLOOKUP(C84,'DESNZ Cat 6-9'!$Q$41:$S$44,3,FALSE)),"")</f>
        <v/>
      </c>
      <c r="H84" s="171" t="str">
        <f>IFERROR(G84*F84/1000,"")</f>
        <v/>
      </c>
      <c r="I84" s="117"/>
    </row>
    <row r="85" spans="1:13" ht="15.75" thickBot="1">
      <c r="A85" s="146">
        <v>2</v>
      </c>
      <c r="B85" s="150"/>
      <c r="C85" s="150" t="s">
        <v>270</v>
      </c>
      <c r="D85" s="150" t="s">
        <v>281</v>
      </c>
      <c r="E85" s="150" t="s">
        <v>16</v>
      </c>
      <c r="F85" s="151">
        <v>50000</v>
      </c>
      <c r="G85" s="172" t="str">
        <f>IFERROR(IF(C85="Cars_by_market_segment",VLOOKUP(_xlfn.CONCAT(C85,D85,E85),'DESNZ Cat 6-9'!$B$18:$M$82,12,FALSE)+VLOOKUP(_xlfn.CONCAT(C85,D85,E85),'DESNZ Cat 6-9'!$B$18:$M$82,13,FALSE),VLOOKUP(C85,'DESNZ Cat 6-9'!$Q$41:$S$44,2,FALSE)+VLOOKUP(C85,'DESNZ Cat 6-9'!$Q$41:$S$44,3,FALSE)),"")</f>
        <v/>
      </c>
      <c r="H85" s="172" t="str">
        <f t="shared" ref="H85:H103" si="3">IFERROR(G85*F85/1000,"")</f>
        <v/>
      </c>
      <c r="I85" s="117"/>
    </row>
    <row r="86" spans="1:13" ht="15.75" thickBot="1">
      <c r="A86" s="146">
        <v>3</v>
      </c>
      <c r="B86" s="150"/>
      <c r="C86" s="150" t="s">
        <v>270</v>
      </c>
      <c r="D86" s="150" t="s">
        <v>279</v>
      </c>
      <c r="E86" s="150" t="s">
        <v>277</v>
      </c>
      <c r="F86" s="151">
        <v>500000</v>
      </c>
      <c r="G86" s="826" t="str">
        <f>IFERROR(IF(C86="Cars_by_market_segment",VLOOKUP(_xlfn.CONCAT(C86,D86,E86),'DESNZ Cat 6-9'!$B$18:$M$82,12,FALSE)+VLOOKUP(_xlfn.CONCAT(C86,D86,E86),'DESNZ Cat 6-9'!$B$18:$M$82,13,FALSE),VLOOKUP(C86,'DESNZ Cat 6-9'!$Q$41:$S$44,2,FALSE)+VLOOKUP(C86,'DESNZ Cat 6-9'!$Q$41:$S$44,3,FALSE)),"")</f>
        <v/>
      </c>
      <c r="H86" s="172" t="str">
        <f t="shared" si="3"/>
        <v/>
      </c>
      <c r="I86" s="117"/>
      <c r="J86" s="1555" t="s">
        <v>1285</v>
      </c>
      <c r="K86" s="1556"/>
      <c r="L86" s="1557"/>
    </row>
    <row r="87" spans="1:13" ht="60">
      <c r="A87" s="146">
        <v>4</v>
      </c>
      <c r="B87" s="150"/>
      <c r="C87" s="150" t="s">
        <v>275</v>
      </c>
      <c r="D87" s="150"/>
      <c r="E87" s="150"/>
      <c r="F87" s="151"/>
      <c r="G87" s="172">
        <f>IFERROR(IF(C87="Cars_by_market_segment",VLOOKUP(_xlfn.CONCAT(C87,D87,E87),'DESNZ Cat 6-9'!$B$18:$M$82,12,FALSE)+VLOOKUP(_xlfn.CONCAT(C87,D87,E87),'DESNZ Cat 6-9'!$B$18:$M$82,13,FALSE),VLOOKUP(C87,'DESNZ Cat 6-9'!$Q$41:$S$44,2,FALSE)+VLOOKUP(C87,'DESNZ Cat 6-9'!$Q$41:$S$44,3,FALSE)),"")</f>
        <v>0.29872555272469759</v>
      </c>
      <c r="H87" s="172">
        <f t="shared" si="3"/>
        <v>0</v>
      </c>
      <c r="I87" s="117"/>
      <c r="J87" s="816" t="s">
        <v>1286</v>
      </c>
      <c r="K87" s="817" t="s">
        <v>1287</v>
      </c>
      <c r="L87" s="817" t="s">
        <v>4027</v>
      </c>
      <c r="M87" s="819" t="s">
        <v>1288</v>
      </c>
    </row>
    <row r="88" spans="1:13" ht="15">
      <c r="A88" s="146">
        <v>5</v>
      </c>
      <c r="B88" s="150"/>
      <c r="C88" s="150"/>
      <c r="D88" s="150"/>
      <c r="E88" s="150"/>
      <c r="F88" s="151"/>
      <c r="G88" s="172" t="str">
        <f>IFERROR(IF(C88="Cars_by_market_segment",VLOOKUP(_xlfn.CONCAT(C88,D88,E88),'DESNZ Cat 6-9'!$B$18:$M$82,12,FALSE)+VLOOKUP(_xlfn.CONCAT(C88,D88,E88),'DESNZ Cat 6-9'!$B$18:$M$82,13,FALSE),VLOOKUP(C88,'DESNZ Cat 6-9'!$Q$41:$S$44,2,FALSE)+VLOOKUP(C88,'DESNZ Cat 6-9'!$Q$41:$S$44,3,FALSE)),"")</f>
        <v/>
      </c>
      <c r="H88" s="172" t="str">
        <f t="shared" si="3"/>
        <v/>
      </c>
      <c r="I88" s="117"/>
      <c r="J88" s="173" t="s">
        <v>281</v>
      </c>
      <c r="K88" s="10">
        <f>RANK(L88,$L$88:$L$96)</f>
        <v>1</v>
      </c>
      <c r="L88" s="833">
        <f>VLOOKUP(J88,'DESNZ Cat 6-9'!$Q$31:$S$39,2,FALSE)+VLOOKUP(J88,'DESNZ Cat 6-9'!$Q$31:$S$39,3,FALSE)</f>
        <v>0.6193734678389925</v>
      </c>
      <c r="M88" s="174" t="s">
        <v>1289</v>
      </c>
    </row>
    <row r="89" spans="1:13" ht="29.25">
      <c r="A89" s="146">
        <v>6</v>
      </c>
      <c r="B89" s="150"/>
      <c r="C89" s="150"/>
      <c r="D89" s="150"/>
      <c r="E89" s="150"/>
      <c r="F89" s="151"/>
      <c r="G89" s="172" t="str">
        <f>IFERROR(IF(C89="Cars_by_market_segment",VLOOKUP(_xlfn.CONCAT(C89,D89,E89),'DESNZ Cat 6-9'!$B$18:$M$82,12,FALSE)+VLOOKUP(_xlfn.CONCAT(C89,D89,E89),'DESNZ Cat 6-9'!$B$18:$M$82,13,FALSE),VLOOKUP(C89,'DESNZ Cat 6-9'!$Q$41:$S$44,2,FALSE)+VLOOKUP(C89,'DESNZ Cat 6-9'!$Q$41:$S$44,3,FALSE)),"")</f>
        <v/>
      </c>
      <c r="H89" s="172" t="str">
        <f t="shared" si="3"/>
        <v/>
      </c>
      <c r="I89" s="117"/>
      <c r="J89" s="316" t="s">
        <v>274</v>
      </c>
      <c r="K89" s="10">
        <f t="shared" ref="K89:K96" si="4">RANK(L89,$L$88:$L$96)</f>
        <v>4</v>
      </c>
      <c r="L89" s="833">
        <f>VLOOKUP(J89,'DESNZ Cat 6-9'!$Q$31:$S$39,2,FALSE)+VLOOKUP(J89,'DESNZ Cat 6-9'!$Q$31:$S$39,3,FALSE)</f>
        <v>0.39192899666419978</v>
      </c>
      <c r="M89" s="174" t="s">
        <v>1291</v>
      </c>
    </row>
    <row r="90" spans="1:13" ht="29.25">
      <c r="A90" s="146">
        <v>7</v>
      </c>
      <c r="B90" s="150"/>
      <c r="C90" s="150"/>
      <c r="D90" s="150"/>
      <c r="E90" s="150"/>
      <c r="F90" s="151"/>
      <c r="G90" s="172" t="str">
        <f>IFERROR(IF(C90="Cars_by_market_segment",VLOOKUP(_xlfn.CONCAT(C90,D90,E90),'DESNZ Cat 6-9'!$B$18:$M$82,12,FALSE)+VLOOKUP(_xlfn.CONCAT(C90,D90,E90),'DESNZ Cat 6-9'!$B$18:$M$82,13,FALSE),VLOOKUP(C90,'DESNZ Cat 6-9'!$Q$41:$S$44,2,FALSE)+VLOOKUP(C90,'DESNZ Cat 6-9'!$Q$41:$S$44,3,FALSE)),"")</f>
        <v/>
      </c>
      <c r="H90" s="172" t="str">
        <f t="shared" si="3"/>
        <v/>
      </c>
      <c r="I90" s="117"/>
      <c r="J90" s="173" t="s">
        <v>283</v>
      </c>
      <c r="K90" s="10">
        <f t="shared" si="4"/>
        <v>2</v>
      </c>
      <c r="L90" s="833">
        <f>VLOOKUP(J90,'DESNZ Cat 6-9'!$Q$31:$S$39,2,FALSE)+VLOOKUP(J90,'DESNZ Cat 6-9'!$Q$31:$S$39,3,FALSE)</f>
        <v>0.47078825676359881</v>
      </c>
      <c r="M90" s="174" t="s">
        <v>1290</v>
      </c>
    </row>
    <row r="91" spans="1:13" ht="15">
      <c r="A91" s="146">
        <v>8</v>
      </c>
      <c r="B91" s="150"/>
      <c r="C91" s="150"/>
      <c r="D91" s="150"/>
      <c r="E91" s="150"/>
      <c r="F91" s="151"/>
      <c r="G91" s="172" t="str">
        <f>IFERROR(IF(C91="Cars_by_market_segment",VLOOKUP(_xlfn.CONCAT(C91,D91,E91),'DESNZ Cat 6-9'!$B$18:$M$82,12,FALSE)+VLOOKUP(_xlfn.CONCAT(C91,D91,E91),'DESNZ Cat 6-9'!$B$18:$M$82,13,FALSE),VLOOKUP(C91,'DESNZ Cat 6-9'!$Q$41:$S$44,2,FALSE)+VLOOKUP(C91,'DESNZ Cat 6-9'!$Q$41:$S$44,3,FALSE)),"")</f>
        <v/>
      </c>
      <c r="H91" s="172" t="str">
        <f t="shared" si="3"/>
        <v/>
      </c>
      <c r="I91" s="117"/>
      <c r="J91" s="173" t="s">
        <v>279</v>
      </c>
      <c r="K91" s="10">
        <f t="shared" si="4"/>
        <v>3</v>
      </c>
      <c r="L91" s="833">
        <f>VLOOKUP(J91,'DESNZ Cat 6-9'!$Q$31:$S$39,2,FALSE)+VLOOKUP(J91,'DESNZ Cat 6-9'!$Q$31:$S$39,3,FALSE)</f>
        <v>0.40705543303197461</v>
      </c>
      <c r="M91" s="174" t="s">
        <v>1293</v>
      </c>
    </row>
    <row r="92" spans="1:13" ht="15">
      <c r="A92" s="146">
        <v>9</v>
      </c>
      <c r="B92" s="150"/>
      <c r="C92" s="150"/>
      <c r="D92" s="150"/>
      <c r="E92" s="150"/>
      <c r="F92" s="151"/>
      <c r="G92" s="172" t="str">
        <f>IFERROR(IF(C92="Cars_by_market_segment",VLOOKUP(_xlfn.CONCAT(C92,D92,E92),'DESNZ Cat 6-9'!$B$18:$M$82,12,FALSE)+VLOOKUP(_xlfn.CONCAT(C92,D92,E92),'DESNZ Cat 6-9'!$B$18:$M$82,13,FALSE),VLOOKUP(C92,'DESNZ Cat 6-9'!$Q$41:$S$44,2,FALSE)+VLOOKUP(C92,'DESNZ Cat 6-9'!$Q$41:$S$44,3,FALSE)),"")</f>
        <v/>
      </c>
      <c r="H92" s="172" t="str">
        <f t="shared" si="3"/>
        <v/>
      </c>
      <c r="I92" s="117"/>
      <c r="J92" s="173" t="s">
        <v>285</v>
      </c>
      <c r="K92" s="10">
        <f t="shared" si="4"/>
        <v>5</v>
      </c>
      <c r="L92" s="833">
        <f>VLOOKUP(J92,'DESNZ Cat 6-9'!$Q$31:$S$39,2,FALSE)+VLOOKUP(J92,'DESNZ Cat 6-9'!$Q$31:$S$39,3,FALSE)</f>
        <v>0.37535026671426447</v>
      </c>
      <c r="M92" s="174" t="s">
        <v>1294</v>
      </c>
    </row>
    <row r="93" spans="1:13" ht="30">
      <c r="A93" s="146">
        <v>10</v>
      </c>
      <c r="B93" s="150"/>
      <c r="C93" s="150"/>
      <c r="D93" s="150"/>
      <c r="E93" s="150"/>
      <c r="F93" s="151"/>
      <c r="G93" s="172" t="str">
        <f>IFERROR(IF(C93="Cars_by_market_segment",VLOOKUP(_xlfn.CONCAT(C93,D93,E93),'DESNZ Cat 6-9'!$B$18:$M$82,12,FALSE)+VLOOKUP(_xlfn.CONCAT(C93,D93,E93),'DESNZ Cat 6-9'!$B$18:$M$82,13,FALSE),VLOOKUP(C93,'DESNZ Cat 6-9'!$Q$41:$S$44,2,FALSE)+VLOOKUP(C93,'DESNZ Cat 6-9'!$Q$41:$S$44,3,FALSE)),"")</f>
        <v/>
      </c>
      <c r="H93" s="172" t="str">
        <f t="shared" si="3"/>
        <v/>
      </c>
      <c r="I93" s="117"/>
      <c r="J93" s="173" t="s">
        <v>284</v>
      </c>
      <c r="K93" s="10">
        <f t="shared" si="4"/>
        <v>6</v>
      </c>
      <c r="L93" s="833">
        <f>VLOOKUP(J93,'DESNZ Cat 6-9'!$Q$31:$S$39,2,FALSE)+VLOOKUP(J93,'DESNZ Cat 6-9'!$Q$31:$S$39,3,FALSE)</f>
        <v>0.36498627075668827</v>
      </c>
      <c r="M93" s="174" t="s">
        <v>1292</v>
      </c>
    </row>
    <row r="94" spans="1:13" ht="15">
      <c r="A94" s="146">
        <v>11</v>
      </c>
      <c r="B94" s="150"/>
      <c r="C94" s="150"/>
      <c r="D94" s="150"/>
      <c r="E94" s="150"/>
      <c r="F94" s="151"/>
      <c r="G94" s="172" t="str">
        <f>IFERROR(IF(C94="Cars_by_market_segment",VLOOKUP(_xlfn.CONCAT(C94,D94,E94),'DESNZ Cat 6-9'!$B$18:$M$82,12,FALSE)+VLOOKUP(_xlfn.CONCAT(C94,D94,E94),'DESNZ Cat 6-9'!$B$18:$M$82,13,FALSE),VLOOKUP(C94,'DESNZ Cat 6-9'!$Q$41:$S$44,2,FALSE)+VLOOKUP(C94,'DESNZ Cat 6-9'!$Q$41:$S$44,3,FALSE)),"")</f>
        <v/>
      </c>
      <c r="H94" s="172" t="str">
        <f t="shared" si="3"/>
        <v/>
      </c>
      <c r="I94" s="117"/>
      <c r="J94" s="173" t="s">
        <v>280</v>
      </c>
      <c r="K94" s="10">
        <f t="shared" si="4"/>
        <v>7</v>
      </c>
      <c r="L94" s="833">
        <f>VLOOKUP(J94,'DESNZ Cat 6-9'!$Q$31:$S$39,2,FALSE)+VLOOKUP(J94,'DESNZ Cat 6-9'!$Q$31:$S$39,3,FALSE)</f>
        <v>0.32665718747965344</v>
      </c>
      <c r="M94" s="174" t="s">
        <v>1295</v>
      </c>
    </row>
    <row r="95" spans="1:13" ht="15">
      <c r="A95" s="146">
        <v>12</v>
      </c>
      <c r="B95" s="150"/>
      <c r="C95" s="150"/>
      <c r="D95" s="150"/>
      <c r="E95" s="150"/>
      <c r="F95" s="151"/>
      <c r="G95" s="172" t="str">
        <f>IFERROR(IF(C95="Cars_by_market_segment",VLOOKUP(_xlfn.CONCAT(C95,D95,E95),'DESNZ Cat 6-9'!$B$18:$M$82,12,FALSE)+VLOOKUP(_xlfn.CONCAT(C95,D95,E95),'DESNZ Cat 6-9'!$B$18:$M$82,13,FALSE),VLOOKUP(C95,'DESNZ Cat 6-9'!$Q$41:$S$44,2,FALSE)+VLOOKUP(C95,'DESNZ Cat 6-9'!$Q$41:$S$44,3,FALSE)),"")</f>
        <v/>
      </c>
      <c r="H95" s="172" t="str">
        <f t="shared" si="3"/>
        <v/>
      </c>
      <c r="I95" s="117"/>
      <c r="J95" s="173" t="s">
        <v>286</v>
      </c>
      <c r="K95" s="10">
        <f t="shared" si="4"/>
        <v>8</v>
      </c>
      <c r="L95" s="833">
        <f>VLOOKUP(J95,'DESNZ Cat 6-9'!$Q$31:$S$39,2,FALSE)+VLOOKUP(J95,'DESNZ Cat 6-9'!$Q$31:$S$39,3,FALSE)</f>
        <v>0.2890512115832029</v>
      </c>
      <c r="M95" s="174" t="s">
        <v>1296</v>
      </c>
    </row>
    <row r="96" spans="1:13" ht="15.75" thickBot="1">
      <c r="A96" s="146">
        <v>13</v>
      </c>
      <c r="B96" s="150"/>
      <c r="C96" s="150"/>
      <c r="D96" s="150"/>
      <c r="E96" s="150"/>
      <c r="F96" s="151"/>
      <c r="G96" s="172" t="str">
        <f>IFERROR(IF(C96="Cars_by_market_segment",VLOOKUP(_xlfn.CONCAT(C96,D96,E96),'DESNZ Cat 6-9'!$B$18:$M$82,12,FALSE)+VLOOKUP(_xlfn.CONCAT(C96,D96,E96),'DESNZ Cat 6-9'!$B$18:$M$82,13,FALSE),VLOOKUP(C96,'DESNZ Cat 6-9'!$Q$41:$S$44,2,FALSE)+VLOOKUP(C96,'DESNZ Cat 6-9'!$Q$41:$S$44,3,FALSE)),"")</f>
        <v/>
      </c>
      <c r="H96" s="172" t="str">
        <f t="shared" si="3"/>
        <v/>
      </c>
      <c r="I96" s="117"/>
      <c r="J96" s="175" t="s">
        <v>287</v>
      </c>
      <c r="K96" s="176">
        <f t="shared" si="4"/>
        <v>9</v>
      </c>
      <c r="L96" s="834">
        <f>VLOOKUP(J96,'DESNZ Cat 6-9'!$Q$31:$S$39,2,FALSE)+VLOOKUP(J96,'DESNZ Cat 6-9'!$Q$31:$S$39,3,FALSE)</f>
        <v>0.26257508287868969</v>
      </c>
      <c r="M96" s="177" t="s">
        <v>1297</v>
      </c>
    </row>
    <row r="97" spans="1:9" ht="15">
      <c r="A97" s="146">
        <v>14</v>
      </c>
      <c r="B97" s="150"/>
      <c r="C97" s="150"/>
      <c r="D97" s="150"/>
      <c r="E97" s="150"/>
      <c r="F97" s="151"/>
      <c r="G97" s="172" t="str">
        <f>IFERROR(IF(C97="Cars_by_market_segment",VLOOKUP(_xlfn.CONCAT(C97,D97,E97),'DESNZ Cat 6-9'!$B$18:$M$82,12,FALSE)+VLOOKUP(_xlfn.CONCAT(C97,D97,E97),'DESNZ Cat 6-9'!$B$18:$M$82,13,FALSE),VLOOKUP(C97,'DESNZ Cat 6-9'!$Q$41:$S$44,2,FALSE)+VLOOKUP(C97,'DESNZ Cat 6-9'!$Q$41:$S$44,3,FALSE)),"")</f>
        <v/>
      </c>
      <c r="H97" s="172" t="str">
        <f t="shared" si="3"/>
        <v/>
      </c>
      <c r="I97" s="117"/>
    </row>
    <row r="98" spans="1:9" ht="15">
      <c r="A98" s="146">
        <v>15</v>
      </c>
      <c r="B98" s="150"/>
      <c r="C98" s="150"/>
      <c r="D98" s="150"/>
      <c r="E98" s="150"/>
      <c r="F98" s="151"/>
      <c r="G98" s="172" t="str">
        <f>IFERROR(IF(C98="Cars_by_market_segment",VLOOKUP(_xlfn.CONCAT(C98,D98,E98),'DESNZ Cat 6-9'!$B$18:$M$82,12,FALSE)+VLOOKUP(_xlfn.CONCAT(C98,D98,E98),'DESNZ Cat 6-9'!$B$18:$M$82,13,FALSE),VLOOKUP(C98,'DESNZ Cat 6-9'!$Q$41:$S$44,2,FALSE)+VLOOKUP(C98,'DESNZ Cat 6-9'!$Q$41:$S$44,3,FALSE)),"")</f>
        <v/>
      </c>
      <c r="H98" s="172" t="str">
        <f t="shared" si="3"/>
        <v/>
      </c>
      <c r="I98" s="117"/>
    </row>
    <row r="99" spans="1:9" ht="15">
      <c r="A99" s="146">
        <v>16</v>
      </c>
      <c r="B99" s="150"/>
      <c r="C99" s="150"/>
      <c r="D99" s="150"/>
      <c r="E99" s="150"/>
      <c r="F99" s="151"/>
      <c r="G99" s="172" t="str">
        <f>IFERROR(IF(C99="Cars_by_market_segment",VLOOKUP(_xlfn.CONCAT(C99,D99,E99),'DESNZ Cat 6-9'!$B$18:$M$82,12,FALSE)+VLOOKUP(_xlfn.CONCAT(C99,D99,E99),'DESNZ Cat 6-9'!$B$18:$M$82,13,FALSE),VLOOKUP(C99,'DESNZ Cat 6-9'!$Q$41:$S$44,2,FALSE)+VLOOKUP(C99,'DESNZ Cat 6-9'!$Q$41:$S$44,3,FALSE)),"")</f>
        <v/>
      </c>
      <c r="H99" s="172" t="str">
        <f t="shared" si="3"/>
        <v/>
      </c>
      <c r="I99" s="117"/>
    </row>
    <row r="100" spans="1:9" ht="15">
      <c r="A100" s="146">
        <v>17</v>
      </c>
      <c r="B100" s="150"/>
      <c r="C100" s="150"/>
      <c r="D100" s="150"/>
      <c r="E100" s="150"/>
      <c r="F100" s="151"/>
      <c r="G100" s="172" t="str">
        <f>IFERROR(IF(C100="Cars_by_market_segment",VLOOKUP(_xlfn.CONCAT(C100,D100,E100),'DESNZ Cat 6-9'!$B$18:$M$82,12,FALSE)+VLOOKUP(_xlfn.CONCAT(C100,D100,E100),'DESNZ Cat 6-9'!$B$18:$M$82,13,FALSE),VLOOKUP(C100,'DESNZ Cat 6-9'!$Q$41:$S$44,2,FALSE)+VLOOKUP(C100,'DESNZ Cat 6-9'!$Q$41:$S$44,3,FALSE)),"")</f>
        <v/>
      </c>
      <c r="H100" s="172" t="str">
        <f t="shared" si="3"/>
        <v/>
      </c>
      <c r="I100" s="117"/>
    </row>
    <row r="101" spans="1:9" ht="15">
      <c r="A101" s="146">
        <v>18</v>
      </c>
      <c r="B101" s="150"/>
      <c r="C101" s="150"/>
      <c r="D101" s="150"/>
      <c r="E101" s="150"/>
      <c r="F101" s="151"/>
      <c r="G101" s="172" t="str">
        <f>IFERROR(IF(C101="Cars_by_market_segment",VLOOKUP(_xlfn.CONCAT(C101,D101,E101),'DESNZ Cat 6-9'!$B$18:$M$82,12,FALSE)+VLOOKUP(_xlfn.CONCAT(C101,D101,E101),'DESNZ Cat 6-9'!$B$18:$M$82,13,FALSE),VLOOKUP(C101,'DESNZ Cat 6-9'!$Q$41:$S$44,2,FALSE)+VLOOKUP(C101,'DESNZ Cat 6-9'!$Q$41:$S$44,3,FALSE)),"")</f>
        <v/>
      </c>
      <c r="H101" s="172" t="str">
        <f t="shared" si="3"/>
        <v/>
      </c>
      <c r="I101" s="117"/>
    </row>
    <row r="102" spans="1:9" ht="15">
      <c r="A102" s="146">
        <v>19</v>
      </c>
      <c r="B102" s="150"/>
      <c r="C102" s="150"/>
      <c r="D102" s="150"/>
      <c r="E102" s="150"/>
      <c r="F102" s="151"/>
      <c r="G102" s="172" t="str">
        <f>IFERROR(IF(C102="Cars_by_market_segment",VLOOKUP(_xlfn.CONCAT(C102,D102,E102),'DESNZ Cat 6-9'!$B$18:$M$82,12,FALSE)+VLOOKUP(_xlfn.CONCAT(C102,D102,E102),'DESNZ Cat 6-9'!$B$18:$M$82,13,FALSE),VLOOKUP(C102,'DESNZ Cat 6-9'!$Q$41:$S$44,2,FALSE)+VLOOKUP(C102,'DESNZ Cat 6-9'!$Q$41:$S$44,3,FALSE)),"")</f>
        <v/>
      </c>
      <c r="H102" s="172" t="str">
        <f t="shared" si="3"/>
        <v/>
      </c>
      <c r="I102" s="117"/>
    </row>
    <row r="103" spans="1:9" ht="15.75" thickBot="1">
      <c r="A103" s="146">
        <v>20</v>
      </c>
      <c r="B103" s="150"/>
      <c r="C103" s="150"/>
      <c r="D103" s="150"/>
      <c r="E103" s="150"/>
      <c r="F103" s="151"/>
      <c r="G103" s="172" t="str">
        <f>IFERROR(IF(C103="Cars_by_market_segment",VLOOKUP(_xlfn.CONCAT(C103,D103,E103),'DESNZ Cat 6-9'!$B$18:$M$82,12,FALSE)+VLOOKUP(_xlfn.CONCAT(C103,D103,E103),'DESNZ Cat 6-9'!$B$18:$M$82,13,FALSE),VLOOKUP(C103,'DESNZ Cat 6-9'!$Q$41:$S$44,2,FALSE)+VLOOKUP(C103,'DESNZ Cat 6-9'!$Q$41:$S$44,3,FALSE)),"")</f>
        <v/>
      </c>
      <c r="H103" s="172" t="str">
        <f t="shared" si="3"/>
        <v/>
      </c>
      <c r="I103" s="117"/>
    </row>
    <row r="104" spans="1:9" ht="15" thickBot="1">
      <c r="A104" s="117"/>
      <c r="B104" s="117"/>
      <c r="C104" s="117"/>
      <c r="D104" s="117"/>
      <c r="E104" s="117"/>
      <c r="F104" s="117"/>
      <c r="G104" s="178" t="s">
        <v>1268</v>
      </c>
      <c r="H104" s="179">
        <f>SUM(H85:H103)</f>
        <v>0</v>
      </c>
      <c r="I104" s="117"/>
    </row>
    <row r="105" spans="1:9">
      <c r="A105" s="117"/>
      <c r="B105" s="117"/>
      <c r="C105" s="117"/>
      <c r="D105" s="117"/>
      <c r="E105" s="117"/>
      <c r="F105" s="117"/>
      <c r="G105" s="117"/>
      <c r="H105" s="117"/>
      <c r="I105" s="117"/>
    </row>
    <row r="106" spans="1:9">
      <c r="A106" s="140" t="s">
        <v>4214</v>
      </c>
      <c r="B106" s="117"/>
      <c r="C106" s="117"/>
      <c r="D106" s="117"/>
      <c r="E106" s="117"/>
      <c r="F106" s="117"/>
      <c r="G106" s="117"/>
      <c r="H106" s="117"/>
      <c r="I106" s="117"/>
    </row>
    <row r="107" spans="1:9">
      <c r="A107" s="204" t="s">
        <v>1237</v>
      </c>
    </row>
    <row r="108" spans="1:9">
      <c r="A108" s="143" t="s">
        <v>1299</v>
      </c>
      <c r="B108" s="117"/>
      <c r="C108" s="117"/>
      <c r="D108" s="117"/>
      <c r="E108" s="117"/>
      <c r="F108" s="117"/>
      <c r="G108" s="117"/>
      <c r="H108" s="117"/>
      <c r="I108" s="117"/>
    </row>
    <row r="109" spans="1:9" ht="9" customHeight="1">
      <c r="A109" s="121"/>
      <c r="B109" s="117"/>
      <c r="C109" s="117"/>
      <c r="D109" s="117"/>
      <c r="E109" s="141"/>
      <c r="F109" s="142"/>
      <c r="G109" s="117"/>
      <c r="H109" s="117"/>
      <c r="I109" s="117"/>
    </row>
    <row r="110" spans="1:9" ht="15">
      <c r="A110" s="143"/>
      <c r="B110" s="170" t="s">
        <v>312</v>
      </c>
      <c r="C110" s="170" t="s">
        <v>312</v>
      </c>
      <c r="D110" s="170" t="s">
        <v>312</v>
      </c>
      <c r="E110" s="117"/>
      <c r="F110" s="117"/>
      <c r="G110" s="117"/>
      <c r="H110" s="117"/>
      <c r="I110" s="117"/>
    </row>
    <row r="111" spans="1:9" ht="15">
      <c r="A111" s="144" t="s">
        <v>1238</v>
      </c>
      <c r="B111" s="145" t="s">
        <v>1300</v>
      </c>
      <c r="C111" s="145" t="s">
        <v>29</v>
      </c>
      <c r="D111" s="145" t="s">
        <v>322</v>
      </c>
      <c r="E111" s="117"/>
      <c r="F111" s="117"/>
      <c r="G111" s="117"/>
      <c r="H111" s="117"/>
      <c r="I111" s="117"/>
    </row>
    <row r="112" spans="1:9" ht="29.25">
      <c r="A112" s="146">
        <v>1</v>
      </c>
      <c r="B112" s="238" t="s">
        <v>4208</v>
      </c>
      <c r="C112" s="726" t="s">
        <v>4209</v>
      </c>
      <c r="D112" s="727">
        <v>20000</v>
      </c>
      <c r="E112" s="117"/>
      <c r="F112" s="117"/>
      <c r="G112" s="117"/>
      <c r="H112" s="117"/>
      <c r="I112" s="117"/>
    </row>
    <row r="113" spans="1:9" ht="15">
      <c r="A113" s="146">
        <v>2</v>
      </c>
      <c r="B113" s="150"/>
      <c r="C113" s="150"/>
      <c r="D113" s="158"/>
      <c r="E113" s="117"/>
      <c r="F113" s="117"/>
      <c r="G113" s="117"/>
      <c r="H113" s="117"/>
      <c r="I113" s="117"/>
    </row>
    <row r="114" spans="1:9" ht="15">
      <c r="A114" s="146">
        <v>3</v>
      </c>
      <c r="B114" s="150"/>
      <c r="C114" s="150"/>
      <c r="D114" s="158"/>
      <c r="E114" s="117"/>
      <c r="F114" s="117"/>
      <c r="G114" s="117"/>
      <c r="H114" s="117"/>
      <c r="I114" s="117"/>
    </row>
    <row r="115" spans="1:9" ht="15">
      <c r="A115" s="146">
        <v>4</v>
      </c>
      <c r="B115" s="150"/>
      <c r="C115" s="150"/>
      <c r="D115" s="158"/>
      <c r="E115" s="117"/>
      <c r="F115" s="117"/>
      <c r="G115" s="117"/>
      <c r="H115" s="117"/>
      <c r="I115" s="117"/>
    </row>
    <row r="116" spans="1:9" ht="15">
      <c r="A116" s="146">
        <v>5</v>
      </c>
      <c r="B116" s="150"/>
      <c r="C116" s="150"/>
      <c r="D116" s="158"/>
      <c r="E116" s="117"/>
      <c r="F116" s="117"/>
      <c r="G116" s="117"/>
      <c r="H116" s="117"/>
      <c r="I116" s="117"/>
    </row>
    <row r="117" spans="1:9" ht="15">
      <c r="A117" s="146">
        <v>6</v>
      </c>
      <c r="B117" s="150"/>
      <c r="C117" s="150"/>
      <c r="D117" s="158"/>
      <c r="E117" s="117"/>
      <c r="F117" s="117"/>
      <c r="G117" s="117"/>
      <c r="H117" s="117"/>
      <c r="I117" s="117"/>
    </row>
    <row r="118" spans="1:9" ht="15">
      <c r="A118" s="146">
        <v>7</v>
      </c>
      <c r="B118" s="150"/>
      <c r="C118" s="150"/>
      <c r="D118" s="158"/>
      <c r="E118" s="117"/>
      <c r="F118" s="117"/>
      <c r="G118" s="117"/>
      <c r="H118" s="117"/>
      <c r="I118" s="117"/>
    </row>
    <row r="119" spans="1:9" ht="15">
      <c r="A119" s="146">
        <v>8</v>
      </c>
      <c r="B119" s="150"/>
      <c r="C119" s="150"/>
      <c r="D119" s="158"/>
      <c r="E119" s="117"/>
      <c r="F119" s="117"/>
      <c r="G119" s="117"/>
      <c r="H119" s="117"/>
      <c r="I119" s="117"/>
    </row>
    <row r="120" spans="1:9" ht="15">
      <c r="A120" s="146">
        <v>9</v>
      </c>
      <c r="B120" s="150"/>
      <c r="C120" s="150"/>
      <c r="D120" s="158"/>
      <c r="E120" s="117"/>
      <c r="F120" s="117"/>
      <c r="G120" s="117"/>
      <c r="H120" s="117"/>
      <c r="I120" s="117"/>
    </row>
    <row r="121" spans="1:9" ht="15.75" thickBot="1">
      <c r="A121" s="146">
        <v>10</v>
      </c>
      <c r="B121" s="150"/>
      <c r="C121" s="150"/>
      <c r="D121" s="158"/>
      <c r="E121" s="117"/>
      <c r="F121" s="117"/>
      <c r="G121" s="117"/>
      <c r="H121" s="117"/>
      <c r="I121" s="117"/>
    </row>
    <row r="122" spans="1:9" ht="15.75" thickBot="1">
      <c r="A122" s="117"/>
      <c r="B122" s="117"/>
      <c r="C122" s="180" t="s">
        <v>8</v>
      </c>
      <c r="D122" s="905">
        <f>SUM(D113:D121)</f>
        <v>0</v>
      </c>
      <c r="E122" s="117"/>
      <c r="F122" s="117"/>
      <c r="G122" s="117"/>
      <c r="H122" s="117"/>
      <c r="I122" s="117"/>
    </row>
    <row r="123" spans="1:9">
      <c r="A123" s="117"/>
      <c r="B123" s="117"/>
      <c r="C123" s="117"/>
      <c r="D123" s="117"/>
      <c r="E123" s="117"/>
      <c r="F123" s="117"/>
      <c r="G123" s="117"/>
      <c r="H123" s="117"/>
      <c r="I123" s="117"/>
    </row>
    <row r="124" spans="1:9">
      <c r="A124" s="140" t="s">
        <v>4212</v>
      </c>
      <c r="B124" s="117"/>
      <c r="C124" s="117"/>
      <c r="D124" s="117"/>
      <c r="E124" s="117"/>
      <c r="F124" s="117"/>
      <c r="G124" s="117"/>
      <c r="H124" s="117"/>
      <c r="I124" s="117"/>
    </row>
    <row r="125" spans="1:9">
      <c r="A125" s="204" t="s">
        <v>1237</v>
      </c>
    </row>
    <row r="126" spans="1:9">
      <c r="A126" s="143" t="s">
        <v>4213</v>
      </c>
      <c r="B126" s="117"/>
      <c r="C126" s="117"/>
      <c r="D126" s="117"/>
      <c r="E126" s="117"/>
      <c r="F126" s="117"/>
      <c r="G126" s="117"/>
      <c r="H126" s="117"/>
      <c r="I126" s="117"/>
    </row>
    <row r="127" spans="1:9" ht="9" customHeight="1">
      <c r="A127" s="121"/>
      <c r="B127" s="117"/>
      <c r="C127" s="117"/>
      <c r="D127" s="117"/>
      <c r="E127" s="141"/>
      <c r="F127" s="142"/>
      <c r="G127" s="117"/>
      <c r="H127" s="117"/>
      <c r="I127" s="117"/>
    </row>
    <row r="128" spans="1:9">
      <c r="B128" s="814" t="s">
        <v>312</v>
      </c>
      <c r="C128" s="814" t="s">
        <v>312</v>
      </c>
      <c r="D128" s="814" t="s">
        <v>312</v>
      </c>
    </row>
    <row r="129" spans="1:9" ht="41.25" customHeight="1">
      <c r="A129" s="205" t="s">
        <v>1238</v>
      </c>
      <c r="B129" s="205" t="s">
        <v>319</v>
      </c>
      <c r="C129" s="216" t="s">
        <v>4336</v>
      </c>
      <c r="D129" s="216" t="s">
        <v>4211</v>
      </c>
      <c r="E129" s="205" t="s">
        <v>322</v>
      </c>
    </row>
    <row r="130" spans="1:9" ht="15">
      <c r="A130" s="207">
        <v>1</v>
      </c>
      <c r="B130" s="147" t="s">
        <v>4090</v>
      </c>
      <c r="C130" s="147" t="s">
        <v>1053</v>
      </c>
      <c r="D130" s="839">
        <v>20000</v>
      </c>
      <c r="E130" s="210">
        <f>IF(OR(C130="",D130=""),"",D130*VLOOKUP(C130,EF!$Y$5:$AA$6,3,FALSE)/1000*'Reporting Year &amp; Inflation Adj.'!$F$9)</f>
        <v>3.1868001108300006</v>
      </c>
    </row>
    <row r="131" spans="1:9" ht="15">
      <c r="A131" s="207">
        <v>2</v>
      </c>
      <c r="B131" s="902"/>
      <c r="C131" s="902"/>
      <c r="D131" s="840"/>
      <c r="E131" s="901" t="str">
        <f>IF(OR(C131="",D131=""),"",D131*VLOOKUP(C131,EF!$Y$5:$AA$6,3,FALSE)/1000*'Reporting Year &amp; Inflation Adj.'!$F$9)</f>
        <v/>
      </c>
    </row>
    <row r="132" spans="1:9" ht="15">
      <c r="A132" s="207">
        <v>3</v>
      </c>
      <c r="B132" s="902"/>
      <c r="C132" s="902"/>
      <c r="D132" s="840"/>
      <c r="E132" s="901" t="str">
        <f>IF(OR(C132="",D132=""),"",D132*VLOOKUP(C132,EF!$Y$5:$AA$6,3,FALSE)/1000*'Reporting Year &amp; Inflation Adj.'!$F$9)</f>
        <v/>
      </c>
    </row>
    <row r="133" spans="1:9" ht="15">
      <c r="A133" s="207">
        <v>4</v>
      </c>
      <c r="B133" s="902"/>
      <c r="C133" s="902"/>
      <c r="D133" s="840"/>
      <c r="E133" s="901" t="str">
        <f>IF(OR(C133="",D133=""),"",D133*VLOOKUP(C133,EF!$Y$5:$AA$6,3,FALSE)/1000*'Reporting Year &amp; Inflation Adj.'!$F$9)</f>
        <v/>
      </c>
    </row>
    <row r="134" spans="1:9" ht="15">
      <c r="A134" s="207">
        <v>5</v>
      </c>
      <c r="B134" s="902"/>
      <c r="C134" s="902"/>
      <c r="D134" s="840"/>
      <c r="E134" s="901" t="str">
        <f>IF(OR(C134="",D134=""),"",D134*VLOOKUP(C134,EF!$Y$5:$AA$6,3,FALSE)/1000*'Reporting Year &amp; Inflation Adj.'!$F$9)</f>
        <v/>
      </c>
    </row>
    <row r="135" spans="1:9" ht="15">
      <c r="A135" s="207">
        <v>6</v>
      </c>
      <c r="B135" s="902"/>
      <c r="C135" s="902"/>
      <c r="D135" s="840"/>
      <c r="E135" s="901" t="str">
        <f>IF(OR(C135="",D135=""),"",D135*VLOOKUP(C135,EF!$Y$5:$AA$6,3,FALSE)/1000*'Reporting Year &amp; Inflation Adj.'!$F$9)</f>
        <v/>
      </c>
    </row>
    <row r="136" spans="1:9" ht="15">
      <c r="A136" s="207">
        <v>7</v>
      </c>
      <c r="B136" s="902"/>
      <c r="C136" s="902"/>
      <c r="D136" s="840"/>
      <c r="E136" s="901" t="str">
        <f>IF(OR(C136="",D136=""),"",D136*VLOOKUP(C136,EF!$Y$5:$AA$6,3,FALSE)/1000*'Reporting Year &amp; Inflation Adj.'!$F$9)</f>
        <v/>
      </c>
    </row>
    <row r="137" spans="1:9" ht="15">
      <c r="A137" s="207">
        <v>8</v>
      </c>
      <c r="B137" s="902"/>
      <c r="C137" s="902"/>
      <c r="D137" s="840"/>
      <c r="E137" s="901" t="str">
        <f>IF(OR(C137="",D137=""),"",D137*VLOOKUP(C137,EF!$Y$5:$AA$6,3,FALSE)/1000*'Reporting Year &amp; Inflation Adj.'!$F$9)</f>
        <v/>
      </c>
    </row>
    <row r="138" spans="1:9" ht="15">
      <c r="A138" s="207">
        <v>9</v>
      </c>
      <c r="B138" s="902"/>
      <c r="C138" s="902"/>
      <c r="D138" s="840"/>
      <c r="E138" s="901" t="str">
        <f>IF(OR(C138="",D138=""),"",D138*VLOOKUP(C138,EF!$Y$5:$AA$6,3,FALSE)/1000*'Reporting Year &amp; Inflation Adj.'!$F$9)</f>
        <v/>
      </c>
    </row>
    <row r="139" spans="1:9" ht="15.75" thickBot="1">
      <c r="A139" s="207">
        <v>10</v>
      </c>
      <c r="B139" s="150"/>
      <c r="C139" s="150"/>
      <c r="D139" s="840"/>
      <c r="E139" s="901" t="str">
        <f>IF(OR(C139="",D139=""),"",D139*VLOOKUP(C139,EF!$Y$5:$AA$6,3,FALSE)/1000*'Reporting Year &amp; Inflation Adj.'!$F$9)</f>
        <v/>
      </c>
    </row>
    <row r="140" spans="1:9" ht="15" thickBot="1">
      <c r="D140" s="218" t="s">
        <v>1268</v>
      </c>
      <c r="E140" s="289">
        <f>SUM(E131:E139)</f>
        <v>0</v>
      </c>
    </row>
    <row r="141" spans="1:9">
      <c r="A141" s="117"/>
      <c r="B141" s="117"/>
      <c r="C141" s="117"/>
      <c r="F141" s="117"/>
      <c r="G141" s="117"/>
      <c r="H141" s="117"/>
      <c r="I141" s="117"/>
    </row>
    <row r="142" spans="1:9">
      <c r="A142" s="140" t="s">
        <v>1298</v>
      </c>
      <c r="B142" s="117"/>
      <c r="C142" s="117"/>
      <c r="D142" s="117"/>
      <c r="E142" s="117"/>
      <c r="F142" s="117"/>
      <c r="G142" s="117"/>
      <c r="H142" s="117"/>
      <c r="I142" s="117"/>
    </row>
    <row r="143" spans="1:9">
      <c r="A143" s="143" t="s">
        <v>1299</v>
      </c>
      <c r="B143" s="117"/>
      <c r="C143" s="117"/>
      <c r="D143" s="117"/>
      <c r="E143" s="117"/>
      <c r="F143" s="117"/>
      <c r="G143" s="117"/>
      <c r="H143" s="117"/>
      <c r="I143" s="117"/>
    </row>
    <row r="144" spans="1:9" ht="15">
      <c r="A144" s="144" t="s">
        <v>1238</v>
      </c>
      <c r="B144" s="145" t="s">
        <v>1300</v>
      </c>
      <c r="C144" s="145" t="s">
        <v>29</v>
      </c>
      <c r="D144" s="145" t="s">
        <v>322</v>
      </c>
      <c r="E144" s="117"/>
      <c r="F144" s="117"/>
      <c r="G144" s="117"/>
      <c r="H144" s="117"/>
      <c r="I144" s="117"/>
    </row>
    <row r="145" spans="1:9" ht="29.25">
      <c r="A145" s="146">
        <v>1</v>
      </c>
      <c r="B145" s="238" t="s">
        <v>1301</v>
      </c>
      <c r="C145" s="726" t="s">
        <v>1302</v>
      </c>
      <c r="D145" s="727">
        <v>112020</v>
      </c>
      <c r="E145" s="117"/>
      <c r="F145" s="117"/>
      <c r="G145" s="117"/>
      <c r="H145" s="117"/>
      <c r="I145" s="117"/>
    </row>
    <row r="146" spans="1:9" ht="15">
      <c r="A146" s="146">
        <v>2</v>
      </c>
      <c r="B146" s="150"/>
      <c r="C146" s="150"/>
      <c r="D146" s="158"/>
      <c r="E146" s="117"/>
      <c r="F146" s="117"/>
      <c r="G146" s="117"/>
      <c r="H146" s="117"/>
      <c r="I146" s="117"/>
    </row>
    <row r="147" spans="1:9" ht="15">
      <c r="A147" s="146">
        <v>3</v>
      </c>
      <c r="B147" s="150"/>
      <c r="C147" s="150"/>
      <c r="D147" s="158"/>
      <c r="E147" s="117"/>
      <c r="F147" s="117"/>
      <c r="G147" s="117"/>
      <c r="H147" s="117"/>
      <c r="I147" s="117"/>
    </row>
    <row r="148" spans="1:9" ht="15">
      <c r="A148" s="146">
        <v>4</v>
      </c>
      <c r="B148" s="150"/>
      <c r="C148" s="150"/>
      <c r="D148" s="158"/>
      <c r="E148" s="117"/>
      <c r="F148" s="117"/>
      <c r="G148" s="117"/>
      <c r="H148" s="117"/>
      <c r="I148" s="117"/>
    </row>
    <row r="149" spans="1:9" ht="15">
      <c r="A149" s="146">
        <v>5</v>
      </c>
      <c r="B149" s="150"/>
      <c r="C149" s="150"/>
      <c r="D149" s="158"/>
      <c r="E149" s="117"/>
      <c r="F149" s="117"/>
      <c r="G149" s="117"/>
      <c r="H149" s="117"/>
      <c r="I149" s="117"/>
    </row>
    <row r="150" spans="1:9" ht="15">
      <c r="A150" s="146">
        <v>6</v>
      </c>
      <c r="B150" s="150"/>
      <c r="C150" s="150"/>
      <c r="D150" s="158"/>
      <c r="E150" s="117"/>
      <c r="F150" s="117"/>
      <c r="G150" s="117"/>
      <c r="H150" s="117"/>
      <c r="I150" s="117"/>
    </row>
    <row r="151" spans="1:9" ht="15">
      <c r="A151" s="146">
        <v>7</v>
      </c>
      <c r="B151" s="150"/>
      <c r="C151" s="150"/>
      <c r="D151" s="158"/>
      <c r="E151" s="117"/>
      <c r="F151" s="117"/>
      <c r="G151" s="117"/>
      <c r="H151" s="117"/>
      <c r="I151" s="117"/>
    </row>
    <row r="152" spans="1:9" ht="15">
      <c r="A152" s="146">
        <v>8</v>
      </c>
      <c r="B152" s="150"/>
      <c r="C152" s="150"/>
      <c r="D152" s="158"/>
      <c r="E152" s="117"/>
      <c r="F152" s="117"/>
      <c r="G152" s="117"/>
      <c r="H152" s="117"/>
      <c r="I152" s="117"/>
    </row>
    <row r="153" spans="1:9" ht="15">
      <c r="A153" s="146">
        <v>9</v>
      </c>
      <c r="B153" s="150"/>
      <c r="C153" s="150"/>
      <c r="D153" s="158"/>
      <c r="E153" s="117"/>
      <c r="F153" s="117"/>
      <c r="G153" s="117"/>
      <c r="H153" s="117"/>
      <c r="I153" s="117"/>
    </row>
    <row r="154" spans="1:9" ht="15.75" thickBot="1">
      <c r="A154" s="146">
        <v>10</v>
      </c>
      <c r="B154" s="150"/>
      <c r="C154" s="150"/>
      <c r="D154" s="158"/>
      <c r="E154" s="117"/>
      <c r="F154" s="117"/>
      <c r="G154" s="117"/>
      <c r="H154" s="117"/>
      <c r="I154" s="117"/>
    </row>
    <row r="155" spans="1:9" ht="15.75" thickBot="1">
      <c r="A155" s="117"/>
      <c r="B155" s="117"/>
      <c r="C155" s="180" t="s">
        <v>8</v>
      </c>
      <c r="D155" s="905">
        <f>SUM(D146:D154)</f>
        <v>0</v>
      </c>
      <c r="E155" s="117"/>
      <c r="F155" s="117"/>
      <c r="G155" s="117"/>
      <c r="H155" s="117"/>
      <c r="I155" s="117"/>
    </row>
  </sheetData>
  <sheetProtection algorithmName="SHA-512" hashValue="NNYUmhameEhqJJA98jGn5ZN1XnQAIyLz8riJDjK3a6tpFBoU7WxQImHu8QIKmuny7+bAseV0rgrHuQBLtiqDeg==" saltValue="cBzXZ5wusqhHdLs9bTF5CQ==" spinCount="100000" sheet="1" objects="1" scenarios="1"/>
  <mergeCells count="2">
    <mergeCell ref="A3:I4"/>
    <mergeCell ref="J86:L86"/>
  </mergeCells>
  <pageMargins left="0.7" right="0.7" top="0.75" bottom="0.75" header="0.3" footer="0.3"/>
  <extLst>
    <ext xmlns:x14="http://schemas.microsoft.com/office/spreadsheetml/2009/9/main" uri="{CCE6A557-97BC-4b89-ADB6-D9C93CAAB3DF}">
      <x14:dataValidations xmlns:xm="http://schemas.microsoft.com/office/excel/2006/main" count="4">
        <x14:dataValidation type="list" allowBlank="1" showInputMessage="1" showErrorMessage="1" xr:uid="{2C573A61-3AEA-4E25-9CDD-BD3A4D6F58FC}">
          <x14:formula1>
            <xm:f>'DESNZ Cat 6-9'!$AF$6:$AF$10</xm:f>
          </x14:formula1>
          <xm:sqref>C85:C103</xm:sqref>
        </x14:dataValidation>
        <x14:dataValidation type="list" allowBlank="1" showInputMessage="1" showErrorMessage="1" xr:uid="{DCBBFD69-9ADF-475D-856A-A8AEE9B54717}">
          <x14:formula1>
            <xm:f>IF($C84="Cars_by_market_segment",INDIRECT('DESNZ Cat 6-9'!$AF$18),"")</xm:f>
          </x14:formula1>
          <xm:sqref>D84:D103</xm:sqref>
        </x14:dataValidation>
        <x14:dataValidation type="list" allowBlank="1" showInputMessage="1" showErrorMessage="1" xr:uid="{BD5BCCA1-740A-45B3-B1CA-81A58A024B5D}">
          <x14:formula1>
            <xm:f>IF($C84="Cars_by_market_segment",INDIRECT('DESNZ Cat 6-9'!$AF$45),"")</xm:f>
          </x14:formula1>
          <xm:sqref>E84:E103</xm:sqref>
        </x14:dataValidation>
        <x14:dataValidation type="list" allowBlank="1" showInputMessage="1" showErrorMessage="1" xr:uid="{F1858CCB-D2AE-4214-869D-236F5B2A1C34}">
          <x14:formula1>
            <xm:f>EF!Y$5:Y$6</xm:f>
          </x14:formula1>
          <xm:sqref>C130:C139</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E83BD-1B9E-4582-BF77-DD683E213AAC}">
  <sheetPr codeName="Sheet21">
    <tabColor theme="3" tint="0.59999389629810485"/>
  </sheetPr>
  <dimension ref="A1:AD59"/>
  <sheetViews>
    <sheetView showGridLines="0" zoomScale="85" zoomScaleNormal="85" workbookViewId="0">
      <selection activeCell="E31" sqref="E31"/>
    </sheetView>
  </sheetViews>
  <sheetFormatPr defaultColWidth="8.875" defaultRowHeight="14.25"/>
  <cols>
    <col min="2" max="2" width="46.5" bestFit="1" customWidth="1"/>
    <col min="3" max="3" width="29" bestFit="1" customWidth="1"/>
    <col min="4" max="4" width="20" customWidth="1"/>
    <col min="5" max="5" width="20.5" customWidth="1"/>
    <col min="6" max="6" width="25.875" customWidth="1"/>
    <col min="7" max="7" width="19.625" customWidth="1"/>
    <col min="8" max="8" width="24.625" customWidth="1"/>
    <col min="9" max="9" width="22.625" customWidth="1"/>
    <col min="10" max="10" width="19.625" customWidth="1"/>
    <col min="11" max="11" width="19.5" customWidth="1"/>
  </cols>
  <sheetData>
    <row r="1" spans="1:30" ht="26.25" customHeight="1">
      <c r="A1" s="74" t="s">
        <v>1324</v>
      </c>
      <c r="B1" s="107"/>
      <c r="C1" s="107"/>
      <c r="D1" s="107"/>
      <c r="E1" s="107"/>
      <c r="F1" s="107"/>
      <c r="G1" s="107"/>
      <c r="H1" s="107"/>
    </row>
    <row r="2" spans="1:30" ht="18.75" hidden="1" customHeight="1">
      <c r="A2" s="198" t="s">
        <v>304</v>
      </c>
      <c r="B2" s="110"/>
      <c r="C2" s="110"/>
      <c r="D2" s="110"/>
      <c r="E2" s="110"/>
      <c r="F2" s="110"/>
      <c r="G2" s="110"/>
      <c r="H2" s="110"/>
      <c r="I2" s="110"/>
    </row>
    <row r="3" spans="1:30" ht="18.75" hidden="1" customHeight="1">
      <c r="A3" s="112" t="s">
        <v>1325</v>
      </c>
      <c r="B3" s="110"/>
      <c r="C3" s="110"/>
      <c r="D3" s="110"/>
      <c r="E3" s="110"/>
      <c r="F3" s="110"/>
      <c r="G3" s="110"/>
      <c r="H3" s="110"/>
      <c r="I3" s="110"/>
    </row>
    <row r="4" spans="1:30" ht="18.75" hidden="1" customHeight="1">
      <c r="A4" s="112" t="s">
        <v>1326</v>
      </c>
      <c r="B4" s="110"/>
      <c r="C4" s="110"/>
      <c r="D4" s="110"/>
      <c r="E4" s="110"/>
      <c r="F4" s="110"/>
      <c r="G4" s="110"/>
      <c r="H4" s="110"/>
      <c r="I4" s="110"/>
    </row>
    <row r="5" spans="1:30" ht="18.75" hidden="1" customHeight="1">
      <c r="A5" s="199" t="s">
        <v>1327</v>
      </c>
      <c r="B5" s="110"/>
      <c r="C5" s="110"/>
      <c r="D5" s="110"/>
      <c r="E5" s="110"/>
      <c r="F5" s="110"/>
      <c r="G5" s="110"/>
      <c r="H5" s="110"/>
      <c r="I5" s="110"/>
    </row>
    <row r="6" spans="1:30" ht="18.75" hidden="1" customHeight="1">
      <c r="A6" s="199" t="s">
        <v>1328</v>
      </c>
      <c r="B6" s="110"/>
      <c r="C6" s="110"/>
      <c r="D6" s="110"/>
      <c r="E6" s="110"/>
      <c r="F6" s="110"/>
      <c r="G6" s="110"/>
      <c r="H6" s="110"/>
      <c r="I6" s="110"/>
    </row>
    <row r="7" spans="1:30" ht="18.75" customHeight="1"/>
    <row r="8" spans="1:30">
      <c r="A8" s="200"/>
      <c r="B8" s="4"/>
      <c r="C8" s="4"/>
      <c r="D8" s="4"/>
      <c r="E8" s="4"/>
      <c r="F8" s="4"/>
      <c r="G8" s="4"/>
      <c r="H8" s="4"/>
      <c r="I8" s="4"/>
      <c r="J8" s="4"/>
      <c r="K8" s="4"/>
      <c r="L8" s="4"/>
      <c r="M8" s="114"/>
      <c r="N8" s="114"/>
      <c r="O8" s="4"/>
      <c r="P8" s="4"/>
      <c r="Q8" s="4"/>
      <c r="R8" s="4"/>
      <c r="S8" s="4"/>
      <c r="T8" s="4"/>
      <c r="U8" s="4"/>
      <c r="V8" s="4"/>
      <c r="W8" s="4"/>
      <c r="X8" s="4"/>
      <c r="Y8" s="4"/>
      <c r="Z8" s="4"/>
      <c r="AA8" s="4"/>
      <c r="AB8" s="4"/>
      <c r="AC8" s="4"/>
      <c r="AD8" s="4"/>
    </row>
    <row r="9" spans="1:30">
      <c r="A9" s="201"/>
      <c r="B9" s="4"/>
      <c r="C9" s="4"/>
      <c r="D9" s="4"/>
      <c r="E9" s="4"/>
      <c r="F9" s="4"/>
      <c r="G9" s="4"/>
      <c r="H9" s="4"/>
      <c r="I9" s="4"/>
      <c r="J9" s="4"/>
      <c r="K9" s="4"/>
      <c r="L9" s="4"/>
      <c r="M9" s="114"/>
      <c r="N9" s="114"/>
      <c r="O9" s="4"/>
      <c r="P9" s="4"/>
      <c r="Q9" s="4"/>
      <c r="R9" s="4"/>
      <c r="S9" s="4"/>
      <c r="T9" s="4"/>
      <c r="U9" s="4"/>
      <c r="V9" s="4"/>
      <c r="W9" s="4"/>
      <c r="X9" s="4"/>
      <c r="Y9" s="4"/>
      <c r="Z9" s="4"/>
      <c r="AA9" s="4"/>
      <c r="AB9" s="4"/>
      <c r="AC9" s="4"/>
      <c r="AD9" s="4"/>
    </row>
    <row r="10" spans="1:30">
      <c r="A10" s="201"/>
      <c r="B10" s="4"/>
      <c r="C10" s="4"/>
      <c r="D10" s="4"/>
      <c r="E10" s="4"/>
      <c r="F10" s="4"/>
      <c r="G10" s="4"/>
      <c r="H10" s="4"/>
      <c r="I10" s="4"/>
      <c r="J10" s="4"/>
      <c r="K10" s="4"/>
      <c r="L10" s="4"/>
      <c r="M10" s="114"/>
      <c r="N10" s="114"/>
      <c r="O10" s="4"/>
      <c r="P10" s="4"/>
      <c r="Q10" s="4"/>
      <c r="R10" s="4"/>
      <c r="S10" s="4"/>
      <c r="T10" s="4"/>
      <c r="U10" s="4"/>
      <c r="V10" s="4"/>
      <c r="W10" s="4"/>
      <c r="X10" s="4"/>
      <c r="Y10" s="4"/>
      <c r="Z10" s="4"/>
      <c r="AA10" s="4"/>
      <c r="AB10" s="4"/>
      <c r="AC10" s="4"/>
      <c r="AD10" s="4"/>
    </row>
    <row r="11" spans="1:30">
      <c r="A11" s="202"/>
      <c r="B11" s="4"/>
      <c r="C11" s="4"/>
      <c r="D11" s="4"/>
      <c r="E11" s="4"/>
      <c r="F11" s="4"/>
      <c r="G11" s="4"/>
      <c r="H11" s="4"/>
      <c r="I11" s="4"/>
      <c r="J11" s="4"/>
      <c r="K11" s="4"/>
      <c r="L11" s="4"/>
      <c r="M11" s="114"/>
      <c r="N11" s="114"/>
      <c r="O11" s="4"/>
      <c r="P11" s="4"/>
      <c r="Q11" s="4"/>
      <c r="R11" s="4"/>
      <c r="S11" s="4"/>
      <c r="T11" s="4"/>
      <c r="U11" s="4"/>
      <c r="V11" s="4"/>
      <c r="W11" s="4"/>
      <c r="X11" s="4"/>
      <c r="Y11" s="4"/>
      <c r="Z11" s="4"/>
      <c r="AA11" s="4"/>
      <c r="AB11" s="4"/>
      <c r="AC11" s="4"/>
      <c r="AD11" s="4"/>
    </row>
    <row r="12" spans="1:30" ht="36.75" customHeight="1">
      <c r="A12" s="896" t="s">
        <v>4138</v>
      </c>
    </row>
    <row r="13" spans="1:30" ht="18.75" customHeight="1">
      <c r="A13" s="203" t="s">
        <v>4062</v>
      </c>
    </row>
    <row r="14" spans="1:30">
      <c r="A14" s="204" t="s">
        <v>1237</v>
      </c>
    </row>
    <row r="15" spans="1:30" ht="6" customHeight="1">
      <c r="A15" s="204"/>
    </row>
    <row r="16" spans="1:30" ht="18.75">
      <c r="A16" s="203"/>
      <c r="B16" s="2"/>
      <c r="C16" s="499"/>
      <c r="D16" s="2"/>
    </row>
    <row r="17" spans="1:7" ht="21.75" customHeight="1">
      <c r="A17" s="205" t="s">
        <v>1238</v>
      </c>
      <c r="B17" s="206" t="s">
        <v>228</v>
      </c>
      <c r="C17" s="206" t="s">
        <v>1329</v>
      </c>
      <c r="D17" s="206" t="s">
        <v>1330</v>
      </c>
      <c r="E17" s="205" t="s">
        <v>3</v>
      </c>
      <c r="F17" s="206" t="s">
        <v>1331</v>
      </c>
      <c r="G17" s="206" t="s">
        <v>322</v>
      </c>
    </row>
    <row r="18" spans="1:7" ht="7.5" customHeight="1"/>
    <row r="19" spans="1:7" ht="21.75" customHeight="1">
      <c r="A19" s="895" t="s">
        <v>1822</v>
      </c>
      <c r="B19" s="206"/>
      <c r="C19" s="206"/>
      <c r="D19" s="206"/>
      <c r="E19" s="205"/>
      <c r="F19" s="206"/>
      <c r="G19" s="206"/>
    </row>
    <row r="20" spans="1:7" ht="15">
      <c r="A20" s="207">
        <v>1</v>
      </c>
      <c r="B20" s="898" t="str">
        <f>'Scope 1 and 2 Data'!A30</f>
        <v>Natural gas</v>
      </c>
      <c r="C20" s="899">
        <f>'Scope 1 and 2 Data'!I30</f>
        <v>13801169.585000001</v>
      </c>
      <c r="D20" s="899" t="str">
        <f>'Scope 1 and 2 Data'!J30</f>
        <v>m3</v>
      </c>
      <c r="E20" s="212">
        <f>VLOOKUP($B20,EF!$G$10:$J$21,3,FALSE)</f>
        <v>0.33660000000000001</v>
      </c>
      <c r="F20" s="212" t="str">
        <f>VLOOKUP($B20,EF!$G$10:$J$21,4,FALSE)</f>
        <v>kg CO2e/m3</v>
      </c>
      <c r="G20" s="213">
        <f>IFERROR(C20*E20/1000,"")</f>
        <v>4645.4736823110006</v>
      </c>
    </row>
    <row r="21" spans="1:7" ht="15">
      <c r="A21" s="207">
        <v>2</v>
      </c>
      <c r="B21" s="898" t="str">
        <f>'Scope 1 and 2 Data'!A31</f>
        <v>Fuel Oil #2</v>
      </c>
      <c r="C21" s="899">
        <f>'Scope 1 and 2 Data'!I31</f>
        <v>0</v>
      </c>
      <c r="D21" s="899" t="str">
        <f>'Scope 1 and 2 Data'!J31</f>
        <v>Liter</v>
      </c>
      <c r="E21" s="212">
        <f>VLOOKUP($B21,EF!$G$10:$J$21,3,FALSE)</f>
        <v>0.69538999999999995</v>
      </c>
      <c r="F21" s="212" t="str">
        <f>VLOOKUP($B21,EF!$G$10:$J$21,4,FALSE)</f>
        <v>kg CO2e/liter</v>
      </c>
      <c r="G21" s="213">
        <f t="shared" ref="G21:G35" si="0">IFERROR(C21*E21/1000,"")</f>
        <v>0</v>
      </c>
    </row>
    <row r="22" spans="1:7" ht="15">
      <c r="A22" s="207">
        <v>3</v>
      </c>
      <c r="B22" s="898" t="str">
        <f>'Scope 1 and 2 Data'!A32</f>
        <v>Diesel</v>
      </c>
      <c r="C22" s="899">
        <f>'Scope 1 and 2 Data'!I32</f>
        <v>0</v>
      </c>
      <c r="D22" s="899" t="str">
        <f>'Scope 1 and 2 Data'!J32</f>
        <v>Liter</v>
      </c>
      <c r="E22" s="212">
        <f>VLOOKUP($B22,EF!$G$10:$J$21,3,FALSE)</f>
        <v>0.61101000000000005</v>
      </c>
      <c r="F22" s="212" t="str">
        <f>VLOOKUP($B22,EF!$G$10:$J$21,4,FALSE)</f>
        <v>kg CO2e/liter</v>
      </c>
      <c r="G22" s="213">
        <f t="shared" si="0"/>
        <v>0</v>
      </c>
    </row>
    <row r="23" spans="1:7" ht="15">
      <c r="A23" s="207">
        <v>4</v>
      </c>
      <c r="B23" s="898" t="str">
        <f>'Scope 1 and 2 Data'!A33</f>
        <v>Gasoline</v>
      </c>
      <c r="C23" s="899">
        <f>'Scope 1 and 2 Data'!I33</f>
        <v>0</v>
      </c>
      <c r="D23" s="899" t="str">
        <f>'Scope 1 and 2 Data'!J33</f>
        <v>Liter</v>
      </c>
      <c r="E23" s="212">
        <f>VLOOKUP($B23,EF!$G$10:$J$21,3,FALSE)</f>
        <v>0.58094000000000001</v>
      </c>
      <c r="F23" s="212" t="str">
        <f>VLOOKUP($B23,EF!$G$10:$J$21,4,FALSE)</f>
        <v>kg CO2e/liter</v>
      </c>
      <c r="G23" s="213">
        <f t="shared" si="0"/>
        <v>0</v>
      </c>
    </row>
    <row r="24" spans="1:7" ht="15">
      <c r="A24" s="207">
        <v>5</v>
      </c>
      <c r="B24" s="898" t="str">
        <f>'Scope 1 and 2 Data'!A34</f>
        <v>Liquefied Petroleum Gases (LPG)</v>
      </c>
      <c r="C24" s="899">
        <f>'Scope 1 and 2 Data'!I34</f>
        <v>0</v>
      </c>
      <c r="D24" s="899" t="str">
        <f>'Scope 1 and 2 Data'!J34</f>
        <v>kg</v>
      </c>
      <c r="E24" s="212">
        <f>VLOOKUP($B24,EF!$G$10:$J$21,3,FALSE)</f>
        <v>0.35018444434999996</v>
      </c>
      <c r="F24" s="212" t="str">
        <f>VLOOKUP($B24,EF!$G$10:$J$21,4,FALSE)</f>
        <v>kg CO2e/kg</v>
      </c>
      <c r="G24" s="213">
        <f t="shared" si="0"/>
        <v>0</v>
      </c>
    </row>
    <row r="25" spans="1:7" ht="15">
      <c r="A25" s="207">
        <v>6</v>
      </c>
      <c r="B25" s="898" t="str">
        <f>'Scope 1 and 2 Data'!A35</f>
        <v>Kerosene</v>
      </c>
      <c r="C25" s="899">
        <f>'Scope 1 and 2 Data'!I35</f>
        <v>0</v>
      </c>
      <c r="D25" s="899" t="str">
        <f>'Scope 1 and 2 Data'!J35</f>
        <v>Liter</v>
      </c>
      <c r="E25" s="212">
        <f>VLOOKUP($B25,EF!$G$10:$J$21,3,FALSE)</f>
        <v>0.53078000000000003</v>
      </c>
      <c r="F25" s="212" t="str">
        <f>VLOOKUP($B25,EF!$G$10:$J$21,4,FALSE)</f>
        <v>kg CO2e/liter</v>
      </c>
      <c r="G25" s="213">
        <f t="shared" si="0"/>
        <v>0</v>
      </c>
    </row>
    <row r="26" spans="1:7" ht="15">
      <c r="A26" s="207">
        <v>7</v>
      </c>
      <c r="B26" s="898" t="str">
        <f>'Scope 1 and 2 Data'!A36</f>
        <v>Coal</v>
      </c>
      <c r="C26" s="899">
        <f>'Scope 1 and 2 Data'!I36</f>
        <v>0</v>
      </c>
      <c r="D26" s="899" t="str">
        <f>'Scope 1 and 2 Data'!J36</f>
        <v xml:space="preserve">kg </v>
      </c>
      <c r="E26" s="212">
        <f>VLOOKUP($B26,EF!$G$10:$J$21,3,FALSE)</f>
        <v>0.47095724</v>
      </c>
      <c r="F26" s="212" t="str">
        <f>VLOOKUP($B26,EF!$G$10:$J$21,4,FALSE)</f>
        <v>kg CO2e/kg</v>
      </c>
      <c r="G26" s="213">
        <f t="shared" si="0"/>
        <v>0</v>
      </c>
    </row>
    <row r="27" spans="1:7" ht="15">
      <c r="A27" s="207">
        <v>8</v>
      </c>
      <c r="B27" s="898" t="str">
        <f>'Scope 1 and 2 Data'!A37</f>
        <v>Wood</v>
      </c>
      <c r="C27" s="899">
        <f>'Scope 1 and 2 Data'!I37</f>
        <v>0</v>
      </c>
      <c r="D27" s="899" t="str">
        <f>'Scope 1 and 2 Data'!J37</f>
        <v xml:space="preserve">kg </v>
      </c>
      <c r="E27" s="212">
        <f>VLOOKUP($B27,EF!$G$10:$J$21,3,FALSE)</f>
        <v>3.04E-2</v>
      </c>
      <c r="F27" s="212" t="str">
        <f>VLOOKUP($B27,EF!$G$10:$J$21,4,FALSE)</f>
        <v>kg CO2e/kg</v>
      </c>
      <c r="G27" s="213">
        <f t="shared" si="0"/>
        <v>0</v>
      </c>
    </row>
    <row r="28" spans="1:7" ht="15.75" thickBot="1">
      <c r="A28" s="207">
        <v>9</v>
      </c>
      <c r="B28" s="898" t="str">
        <f>'Scope 1 and 2 Data'!A38</f>
        <v>Biodiesel</v>
      </c>
      <c r="C28" s="899">
        <f>'Scope 1 and 2 Data'!I38</f>
        <v>0</v>
      </c>
      <c r="D28" s="899" t="str">
        <f>'Scope 1 and 2 Data'!J38</f>
        <v>Liter</v>
      </c>
      <c r="E28" s="212">
        <f>VLOOKUP($B28,EF!$G$10:$J$21,3,FALSE)</f>
        <v>0.35339999999999999</v>
      </c>
      <c r="F28" s="212" t="str">
        <f>VLOOKUP($B28,EF!$G$10:$J$21,4,FALSE)</f>
        <v>kg CO2e/liter</v>
      </c>
      <c r="G28" s="213">
        <f t="shared" si="0"/>
        <v>0</v>
      </c>
    </row>
    <row r="29" spans="1:7" ht="15.75" thickBot="1">
      <c r="F29" s="214" t="s">
        <v>1268</v>
      </c>
      <c r="G29" s="179">
        <f>SUM(G20:G28)</f>
        <v>4645.4736823110006</v>
      </c>
    </row>
    <row r="30" spans="1:7" ht="21.75" customHeight="1">
      <c r="A30" s="895" t="s">
        <v>1841</v>
      </c>
      <c r="B30" s="206"/>
      <c r="C30" s="892"/>
      <c r="D30" s="206"/>
      <c r="E30" s="205"/>
      <c r="F30" s="206"/>
      <c r="G30" s="206"/>
    </row>
    <row r="31" spans="1:7" ht="15">
      <c r="A31" s="207">
        <v>1</v>
      </c>
      <c r="B31" s="898" t="str">
        <f>'Scope 1 and 2 Data'!A61</f>
        <v>Gasoline</v>
      </c>
      <c r="C31" s="899">
        <f>'Scope 1 and 2 Data'!J61</f>
        <v>0</v>
      </c>
      <c r="D31" s="899" t="str">
        <f>'Scope 1 and 2 Data'!K61</f>
        <v>Liter</v>
      </c>
      <c r="E31" s="212">
        <f>VLOOKUP($B31,EF!$G$10:$J$21,3,FALSE)</f>
        <v>0.58094000000000001</v>
      </c>
      <c r="F31" s="212" t="str">
        <f>VLOOKUP($B31,EF!$G$10:$J$21,4,FALSE)</f>
        <v>kg CO2e/liter</v>
      </c>
      <c r="G31" s="213">
        <f t="shared" si="0"/>
        <v>0</v>
      </c>
    </row>
    <row r="32" spans="1:7" ht="15">
      <c r="A32" s="207">
        <v>2</v>
      </c>
      <c r="B32" s="898" t="str">
        <f>'Scope 1 and 2 Data'!A62</f>
        <v>Diesel</v>
      </c>
      <c r="C32" s="899">
        <f>'Scope 1 and 2 Data'!J62</f>
        <v>0</v>
      </c>
      <c r="D32" s="899" t="str">
        <f>'Scope 1 and 2 Data'!K62</f>
        <v>Liter</v>
      </c>
      <c r="E32" s="212">
        <f>VLOOKUP($B32,EF!$G$10:$J$21,3,FALSE)</f>
        <v>0.61101000000000005</v>
      </c>
      <c r="F32" s="212" t="str">
        <f>VLOOKUP($B32,EF!$G$10:$J$21,4,FALSE)</f>
        <v>kg CO2e/liter</v>
      </c>
      <c r="G32" s="213">
        <f t="shared" si="0"/>
        <v>0</v>
      </c>
    </row>
    <row r="33" spans="1:8" ht="15">
      <c r="A33" s="207">
        <v>3</v>
      </c>
      <c r="B33" s="898" t="str">
        <f>'Scope 1 and 2 Data'!A63</f>
        <v>Natural gas</v>
      </c>
      <c r="C33" s="899">
        <f>'Scope 1 and 2 Data'!J63</f>
        <v>0</v>
      </c>
      <c r="D33" s="899" t="str">
        <f>'Scope 1 and 2 Data'!K63</f>
        <v>m3</v>
      </c>
      <c r="E33" s="212">
        <f>VLOOKUP($B33,EF!$G$10:$J$21,3,FALSE)</f>
        <v>0.33660000000000001</v>
      </c>
      <c r="F33" s="212" t="str">
        <f>VLOOKUP($B33,EF!$G$10:$J$21,4,FALSE)</f>
        <v>kg CO2e/m3</v>
      </c>
      <c r="G33" s="213">
        <f t="shared" si="0"/>
        <v>0</v>
      </c>
    </row>
    <row r="34" spans="1:8" ht="15">
      <c r="A34" s="207">
        <v>4</v>
      </c>
      <c r="B34" s="898" t="str">
        <f>'Scope 1 and 2 Data'!A64</f>
        <v>Biodiesel</v>
      </c>
      <c r="C34" s="899">
        <f>'Scope 1 and 2 Data'!J64</f>
        <v>0</v>
      </c>
      <c r="D34" s="899" t="str">
        <f>'Scope 1 and 2 Data'!K64</f>
        <v>Liter</v>
      </c>
      <c r="E34" s="212">
        <f>VLOOKUP($B34,EF!$G$10:$J$21,3,FALSE)</f>
        <v>0.35339999999999999</v>
      </c>
      <c r="F34" s="212" t="str">
        <f>VLOOKUP($B34,EF!$G$10:$J$21,4,FALSE)</f>
        <v>kg CO2e/liter</v>
      </c>
      <c r="G34" s="213">
        <f t="shared" si="0"/>
        <v>0</v>
      </c>
    </row>
    <row r="35" spans="1:8" ht="15.75" thickBot="1">
      <c r="A35" s="207">
        <v>5</v>
      </c>
      <c r="B35" s="898" t="str">
        <f>'Scope 1 and 2 Data'!A65</f>
        <v>Biogasoline/Bioethanol</v>
      </c>
      <c r="C35" s="899">
        <f>'Scope 1 and 2 Data'!J65</f>
        <v>0</v>
      </c>
      <c r="D35" s="899" t="str">
        <f>'Scope 1 and 2 Data'!K65</f>
        <v>Liter</v>
      </c>
      <c r="E35" s="212">
        <f>VLOOKUP($B35,EF!$G$10:$J$21,3,FALSE)</f>
        <v>0.61516000000000004</v>
      </c>
      <c r="F35" s="212" t="str">
        <f>VLOOKUP($B35,EF!$G$10:$J$21,4,FALSE)</f>
        <v>kg CO2e/liter</v>
      </c>
      <c r="G35" s="213">
        <f t="shared" si="0"/>
        <v>0</v>
      </c>
    </row>
    <row r="36" spans="1:8" ht="15.75" thickBot="1">
      <c r="F36" s="214" t="s">
        <v>1268</v>
      </c>
      <c r="G36" s="179">
        <f>SUM(G31:G35)</f>
        <v>0</v>
      </c>
    </row>
    <row r="37" spans="1:8" ht="21.75" customHeight="1">
      <c r="A37" s="895" t="s">
        <v>4177</v>
      </c>
      <c r="B37" s="206"/>
      <c r="C37" s="892"/>
      <c r="D37" s="206"/>
      <c r="E37" s="205"/>
      <c r="F37" s="206"/>
      <c r="G37" s="206"/>
    </row>
    <row r="38" spans="1:8" ht="15">
      <c r="A38" s="207">
        <v>1</v>
      </c>
      <c r="B38" s="898" t="str">
        <f>'Scope 1 and 2 Data'!B264</f>
        <v>Steam</v>
      </c>
      <c r="C38" s="899">
        <f>'Scope 1 and 2 Data'!G264</f>
        <v>0</v>
      </c>
      <c r="D38" s="899" t="s">
        <v>1887</v>
      </c>
      <c r="E38" s="212">
        <f>VLOOKUP("District Heating",EF!$G$10:$J$21,3,FALSE)</f>
        <v>1.0307737397420868E-2</v>
      </c>
      <c r="F38" s="212" t="str">
        <f>VLOOKUP("District Heating",EF!$G$10:$J$21,4,FALSE)</f>
        <v>kg CO2e/kbtu</v>
      </c>
      <c r="G38" s="213">
        <f t="shared" ref="G38:G42" si="1">IFERROR(C38*E38/1000,"")</f>
        <v>0</v>
      </c>
      <c r="H38" s="326"/>
    </row>
    <row r="39" spans="1:8" ht="15">
      <c r="A39" s="207">
        <v>2</v>
      </c>
      <c r="B39" s="898" t="s">
        <v>1888</v>
      </c>
      <c r="C39" s="899">
        <f>'Scope 1 and 2 Data'!G265</f>
        <v>0</v>
      </c>
      <c r="D39" s="899" t="s">
        <v>1887</v>
      </c>
      <c r="E39" s="212">
        <f>VLOOKUP("District Heating",EF!$G$10:$J$21,3,FALSE)</f>
        <v>1.0307737397420868E-2</v>
      </c>
      <c r="F39" s="212" t="str">
        <f>VLOOKUP("District Heating",EF!$G$10:$J$21,4,FALSE)</f>
        <v>kg CO2e/kbtu</v>
      </c>
      <c r="G39" s="213">
        <f t="shared" si="1"/>
        <v>0</v>
      </c>
      <c r="H39" s="326"/>
    </row>
    <row r="40" spans="1:8" ht="15">
      <c r="A40" s="207">
        <v>3</v>
      </c>
      <c r="B40" s="898" t="s">
        <v>1889</v>
      </c>
      <c r="C40" s="899">
        <f>'Scope 1 and 2 Data'!G266</f>
        <v>0</v>
      </c>
      <c r="D40" s="899" t="s">
        <v>1887</v>
      </c>
      <c r="E40" s="212">
        <f>VLOOKUP("Chilled water",EF!$G$10:$J$21,3,FALSE)</f>
        <v>2.1721805392731535E-2</v>
      </c>
      <c r="F40" s="212" t="str">
        <f>VLOOKUP("Chilled Water",EF!$G$10:$J$21,4,FALSE)</f>
        <v>kg CO2e/kbtu</v>
      </c>
      <c r="G40" s="213">
        <f t="shared" si="1"/>
        <v>0</v>
      </c>
      <c r="H40" s="326"/>
    </row>
    <row r="41" spans="1:8" ht="15">
      <c r="A41" s="207">
        <v>4</v>
      </c>
      <c r="B41" s="898" t="s">
        <v>1890</v>
      </c>
      <c r="C41" s="899">
        <f>'Scope 1 and 2 Data'!G267</f>
        <v>0</v>
      </c>
      <c r="D41" s="899" t="s">
        <v>1887</v>
      </c>
      <c r="E41" s="212">
        <f>EF!$I$22</f>
        <v>8.8540445486518168E-3</v>
      </c>
      <c r="F41" s="212" t="str">
        <f>VLOOKUP("Chilled Water",EF!$G$10:$J$21,4,FALSE)</f>
        <v>kg CO2e/kbtu</v>
      </c>
      <c r="G41" s="213">
        <f t="shared" si="1"/>
        <v>0</v>
      </c>
      <c r="H41" s="326"/>
    </row>
    <row r="42" spans="1:8" ht="15.75" thickBot="1">
      <c r="A42" s="207">
        <v>5</v>
      </c>
      <c r="B42" s="898" t="s">
        <v>1891</v>
      </c>
      <c r="C42" s="899">
        <f>'Scope 1 and 2 Data'!G268</f>
        <v>0</v>
      </c>
      <c r="D42" s="899" t="s">
        <v>1887</v>
      </c>
      <c r="E42" s="212">
        <f>EF!$I$22</f>
        <v>8.8540445486518168E-3</v>
      </c>
      <c r="F42" s="212" t="str">
        <f>VLOOKUP("Chilled Water",EF!$G$10:$J$21,4,FALSE)</f>
        <v>kg CO2e/kbtu</v>
      </c>
      <c r="G42" s="213">
        <f t="shared" si="1"/>
        <v>0</v>
      </c>
      <c r="H42" s="326"/>
    </row>
    <row r="43" spans="1:8" ht="15.75" thickBot="1">
      <c r="F43" s="214" t="s">
        <v>1268</v>
      </c>
      <c r="G43" s="179">
        <f>SUM(G38:G40)</f>
        <v>0</v>
      </c>
    </row>
    <row r="44" spans="1:8" ht="18.75">
      <c r="A44" s="203" t="s">
        <v>1332</v>
      </c>
    </row>
    <row r="45" spans="1:8">
      <c r="A45" s="204" t="s">
        <v>1237</v>
      </c>
    </row>
    <row r="46" spans="1:8" ht="9" customHeight="1">
      <c r="A46" s="204"/>
    </row>
    <row r="47" spans="1:8" ht="18.75">
      <c r="A47" s="203"/>
      <c r="B47" s="7"/>
    </row>
    <row r="48" spans="1:8" ht="30">
      <c r="A48" s="205" t="s">
        <v>1238</v>
      </c>
      <c r="B48" s="206" t="s">
        <v>1300</v>
      </c>
      <c r="C48" s="206" t="s">
        <v>1333</v>
      </c>
      <c r="D48" s="215" t="s">
        <v>1334</v>
      </c>
      <c r="E48" s="216" t="s">
        <v>1335</v>
      </c>
      <c r="F48" s="205" t="s">
        <v>322</v>
      </c>
    </row>
    <row r="49" spans="1:6" ht="15">
      <c r="A49" s="207">
        <v>1</v>
      </c>
      <c r="B49" s="898" t="str">
        <f>'Scope 1 and 2 Data'!B248</f>
        <v>Grid / Location-Based Electricity</v>
      </c>
      <c r="C49" s="899">
        <f>'Scope 1 and 2 Data'!H248</f>
        <v>0</v>
      </c>
      <c r="D49" s="894">
        <f>IF(ISBLANK(C49),"",C49/(1-EF!$E$34))</f>
        <v>0</v>
      </c>
      <c r="E49" s="212">
        <f>IF(ISBLANK(C49),"",EF!$E$29)</f>
        <v>5.6799999999999996E-2</v>
      </c>
      <c r="F49" s="893">
        <f>IFERROR(D49*E49/1000,"")</f>
        <v>0</v>
      </c>
    </row>
    <row r="50" spans="1:6" ht="15.75" thickBot="1">
      <c r="A50" s="207">
        <v>2</v>
      </c>
      <c r="B50" s="898" t="str">
        <f>'Scope 1 and 2 Data'!B249</f>
        <v>Market-Based Electricity</v>
      </c>
      <c r="C50" s="899">
        <f>'Scope 1 and 2 Data'!H249</f>
        <v>0</v>
      </c>
      <c r="D50" s="894">
        <f>IF(ISBLANK(C50),"",C50/(1-EF!$E$34))</f>
        <v>0</v>
      </c>
      <c r="E50" s="212">
        <f>IF(ISBLANK(C50),"",EF!$E$29)</f>
        <v>5.6799999999999996E-2</v>
      </c>
      <c r="F50" s="213">
        <f>IFERROR(D50*E50/1000,"")</f>
        <v>0</v>
      </c>
    </row>
    <row r="51" spans="1:6" ht="15.75" thickBot="1">
      <c r="E51" s="214" t="s">
        <v>1268</v>
      </c>
      <c r="F51" s="289">
        <f>SUM(F49:F50)</f>
        <v>0</v>
      </c>
    </row>
    <row r="52" spans="1:6" ht="18.75">
      <c r="A52" s="203" t="s">
        <v>1336</v>
      </c>
    </row>
    <row r="53" spans="1:6">
      <c r="A53" s="204" t="s">
        <v>1237</v>
      </c>
    </row>
    <row r="54" spans="1:6" ht="9" customHeight="1">
      <c r="A54" s="204"/>
    </row>
    <row r="55" spans="1:6">
      <c r="B55" s="7"/>
    </row>
    <row r="56" spans="1:6" ht="45">
      <c r="A56" s="206" t="s">
        <v>1238</v>
      </c>
      <c r="B56" s="206" t="s">
        <v>319</v>
      </c>
      <c r="C56" s="206" t="s">
        <v>1333</v>
      </c>
      <c r="D56" s="216" t="s">
        <v>1337</v>
      </c>
      <c r="E56" s="206" t="s">
        <v>322</v>
      </c>
    </row>
    <row r="57" spans="1:6" ht="15">
      <c r="A57" s="207">
        <v>1</v>
      </c>
      <c r="B57" s="898" t="str">
        <f>B49</f>
        <v>Grid / Location-Based Electricity</v>
      </c>
      <c r="C57" s="894">
        <f>C49</f>
        <v>0</v>
      </c>
      <c r="D57" s="212">
        <f>IF(ISBLANK(C57),"",EF!H3)</f>
        <v>1.8800000000000001E-2</v>
      </c>
      <c r="E57" s="893">
        <f>IFERROR((C57*D57/1000),"")</f>
        <v>0</v>
      </c>
    </row>
    <row r="58" spans="1:6" ht="15.75" thickBot="1">
      <c r="A58" s="207">
        <v>2</v>
      </c>
      <c r="B58" s="898" t="str">
        <f>B50</f>
        <v>Market-Based Electricity</v>
      </c>
      <c r="C58" s="894">
        <f>C50</f>
        <v>0</v>
      </c>
      <c r="D58" s="212">
        <f>IF(C58="","",EF!$H$3)</f>
        <v>1.8800000000000001E-2</v>
      </c>
      <c r="E58" s="897">
        <f t="shared" ref="E58" si="2">IFERROR((C58*D58/1000),"")</f>
        <v>0</v>
      </c>
    </row>
    <row r="59" spans="1:6" ht="15" thickBot="1">
      <c r="D59" s="218" t="s">
        <v>1268</v>
      </c>
      <c r="E59" s="289">
        <f>SUM(E57:E58)</f>
        <v>0</v>
      </c>
    </row>
  </sheetData>
  <sheetProtection algorithmName="SHA-512" hashValue="DHTqry96HF056Ypk/7qX49v5XpfcNZ0X1EX1n7pi/e5Yc6A/lfI1OY3QRed+8nu7Ynn+0IdnVMgNw1WurBAv+Q==" saltValue="00j3kkWauPrrrc8jRYkg+w==" spinCount="100000" sheet="1" objects="1" scenarios="1"/>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49847-71F4-4F13-A34E-8E31928C550E}">
  <sheetPr codeName="Sheet22">
    <tabColor theme="3" tint="0.59999389629810485"/>
  </sheetPr>
  <dimension ref="A1:G22"/>
  <sheetViews>
    <sheetView showGridLines="0" zoomScale="85" zoomScaleNormal="85" workbookViewId="0"/>
  </sheetViews>
  <sheetFormatPr defaultRowHeight="15"/>
  <cols>
    <col min="1" max="1" width="5.125" customWidth="1"/>
    <col min="2" max="2" width="21.625" style="222" customWidth="1"/>
    <col min="3" max="3" width="21.125" style="73" customWidth="1"/>
    <col min="4" max="4" width="18.375" style="21" customWidth="1"/>
    <col min="5" max="5" width="20.875" style="1" customWidth="1"/>
    <col min="6" max="6" width="24.125" style="7" customWidth="1"/>
    <col min="7" max="7" width="149.625" customWidth="1"/>
  </cols>
  <sheetData>
    <row r="1" spans="1:7" ht="20.25">
      <c r="A1" s="74" t="s">
        <v>1338</v>
      </c>
      <c r="B1" s="107"/>
      <c r="C1" s="74"/>
      <c r="D1" s="74"/>
      <c r="E1" s="107"/>
      <c r="F1" s="107"/>
      <c r="G1" s="107"/>
    </row>
    <row r="2" spans="1:7" ht="14.25">
      <c r="A2" s="198" t="s">
        <v>304</v>
      </c>
      <c r="B2" s="219"/>
      <c r="C2" s="110"/>
      <c r="D2" s="110"/>
      <c r="E2" s="110"/>
      <c r="F2" s="110"/>
      <c r="G2" s="110"/>
    </row>
    <row r="3" spans="1:7" ht="14.25">
      <c r="A3" s="112" t="s">
        <v>1339</v>
      </c>
      <c r="B3" s="110"/>
      <c r="C3" s="110"/>
      <c r="D3" s="110"/>
      <c r="E3" s="110"/>
      <c r="F3" s="110"/>
      <c r="G3" s="110"/>
    </row>
    <row r="4" spans="1:7" ht="14.25">
      <c r="A4" s="220" t="s">
        <v>306</v>
      </c>
      <c r="B4" s="221"/>
      <c r="C4" s="221"/>
      <c r="D4" s="221"/>
      <c r="E4" s="221"/>
      <c r="F4" s="221"/>
      <c r="G4" s="221"/>
    </row>
    <row r="5" spans="1:7" ht="14.25">
      <c r="A5" s="220" t="s">
        <v>307</v>
      </c>
      <c r="B5" s="221"/>
      <c r="C5" s="221"/>
      <c r="D5" s="221"/>
      <c r="E5" s="221"/>
      <c r="F5" s="221"/>
      <c r="G5" s="221"/>
    </row>
    <row r="6" spans="1:7" ht="14.25">
      <c r="B6"/>
      <c r="C6"/>
      <c r="D6"/>
      <c r="E6"/>
      <c r="F6"/>
    </row>
    <row r="7" spans="1:7" ht="23.25">
      <c r="A7" s="72"/>
      <c r="C7" s="223"/>
      <c r="D7" s="223"/>
    </row>
    <row r="8" spans="1:7" ht="23.25">
      <c r="A8" s="72"/>
      <c r="C8" s="223"/>
      <c r="D8" s="223"/>
    </row>
    <row r="9" spans="1:7" ht="23.25">
      <c r="A9" s="72"/>
      <c r="C9" s="223"/>
      <c r="D9" s="223"/>
    </row>
    <row r="10" spans="1:7" ht="23.25">
      <c r="A10" s="72"/>
      <c r="C10" s="223"/>
      <c r="D10" s="223"/>
    </row>
    <row r="11" spans="1:7" ht="33" customHeight="1">
      <c r="A11" s="72"/>
      <c r="C11" s="223"/>
      <c r="D11" s="223"/>
      <c r="E11" s="49" t="s">
        <v>310</v>
      </c>
    </row>
    <row r="12" spans="1:7" ht="23.25">
      <c r="A12" s="72"/>
      <c r="C12" s="224" t="s">
        <v>312</v>
      </c>
      <c r="D12" s="224" t="s">
        <v>312</v>
      </c>
      <c r="E12" s="54">
        <f>SUM(E14:E20)</f>
        <v>0</v>
      </c>
      <c r="F12" s="225"/>
    </row>
    <row r="13" spans="1:7" ht="72">
      <c r="A13" s="72"/>
      <c r="B13" s="226" t="s">
        <v>318</v>
      </c>
      <c r="C13" s="227" t="s">
        <v>319</v>
      </c>
      <c r="D13" s="228" t="s">
        <v>320</v>
      </c>
      <c r="E13" s="228" t="s">
        <v>322</v>
      </c>
      <c r="F13" s="229" t="s">
        <v>4239</v>
      </c>
      <c r="G13" s="230" t="s">
        <v>325</v>
      </c>
    </row>
    <row r="14" spans="1:7" ht="129">
      <c r="B14" s="870" t="s">
        <v>21</v>
      </c>
      <c r="C14" s="317"/>
      <c r="D14" s="799"/>
      <c r="E14" s="319" t="str">
        <f>IF(D14="","",(D14*F14/1000*'Reporting Year &amp; Inflation Adj.'!$F$9))</f>
        <v/>
      </c>
      <c r="F14" s="320">
        <v>0.68448441551500006</v>
      </c>
      <c r="G14" s="231" t="s">
        <v>1340</v>
      </c>
    </row>
    <row r="15" spans="1:7" ht="86.25">
      <c r="B15" s="870" t="s">
        <v>1341</v>
      </c>
      <c r="C15" s="317"/>
      <c r="D15" s="799"/>
      <c r="E15" s="319" t="str">
        <f>IF(D15="","",(D15*F15/1000*'Reporting Year &amp; Inflation Adj.'!$F$9))</f>
        <v/>
      </c>
      <c r="F15" s="320">
        <v>0.44575522428999997</v>
      </c>
      <c r="G15" s="231" t="s">
        <v>1342</v>
      </c>
    </row>
    <row r="16" spans="1:7" ht="72">
      <c r="B16" s="870" t="s">
        <v>1343</v>
      </c>
      <c r="C16" s="317"/>
      <c r="D16" s="799"/>
      <c r="E16" s="319" t="str">
        <f>IF(D16="","",(D16*F16/1000*'Reporting Year &amp; Inflation Adj.'!$F$9))</f>
        <v/>
      </c>
      <c r="F16" s="320">
        <v>0.57111774109000013</v>
      </c>
      <c r="G16" s="231" t="s">
        <v>1344</v>
      </c>
    </row>
    <row r="17" spans="2:7" ht="129">
      <c r="B17" s="870" t="s">
        <v>1261</v>
      </c>
      <c r="C17" s="317"/>
      <c r="D17" s="799"/>
      <c r="E17" s="319" t="str">
        <f>IF(D17="","",(D17*F17/1000*'Reporting Year &amp; Inflation Adj.'!$F$9))</f>
        <v/>
      </c>
      <c r="F17" s="320">
        <v>0.76377728079000029</v>
      </c>
      <c r="G17" s="231" t="s">
        <v>1345</v>
      </c>
    </row>
    <row r="18" spans="2:7" ht="114.75">
      <c r="B18" s="870" t="s">
        <v>1346</v>
      </c>
      <c r="C18" s="317"/>
      <c r="D18" s="799"/>
      <c r="E18" s="319" t="str">
        <f>IF(D18="","",(D18*F18/1000*'Reporting Year &amp; Inflation Adj.'!$F$9))</f>
        <v/>
      </c>
      <c r="F18" s="320">
        <v>6.314702551000001E-2</v>
      </c>
      <c r="G18" s="231" t="s">
        <v>1347</v>
      </c>
    </row>
    <row r="19" spans="2:7" ht="100.5">
      <c r="B19" s="870" t="s">
        <v>1348</v>
      </c>
      <c r="C19" s="317"/>
      <c r="D19" s="799"/>
      <c r="E19" s="319" t="str">
        <f>IF(D19="","",(D19*F19/1000*'Reporting Year &amp; Inflation Adj.'!$F$9))</f>
        <v/>
      </c>
      <c r="F19" s="320">
        <v>0.31456370901000003</v>
      </c>
      <c r="G19" s="231" t="s">
        <v>1349</v>
      </c>
    </row>
    <row r="20" spans="2:7" ht="100.5">
      <c r="B20" s="870" t="s">
        <v>1350</v>
      </c>
      <c r="C20" s="318"/>
      <c r="D20" s="800"/>
      <c r="E20" s="319" t="str">
        <f>IF(D20="","",(D20*F20/1000*'Reporting Year &amp; Inflation Adj.'!$F$9))</f>
        <v/>
      </c>
      <c r="F20" s="320">
        <v>0.22046836109000001</v>
      </c>
      <c r="G20" s="231" t="s">
        <v>1351</v>
      </c>
    </row>
    <row r="21" spans="2:7">
      <c r="D21"/>
      <c r="E21"/>
    </row>
    <row r="22" spans="2:7">
      <c r="E22"/>
    </row>
  </sheetData>
  <sheetProtection algorithmName="SHA-512" hashValue="pwixWAaGAOiOTiyMRqzs9yNKQ0B5NXx0E+J1po/Jsa8PFXOjrLmqVMfolOq6fOOL4UQigeruJBCKHbka9kqTqA==" saltValue="+njf5zx94EusVTC9z0K8Yw==" spinCount="100000" sheet="1" objects="1" scenarios="1"/>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36DCEA-7B4B-47A5-80A7-29023B938DCD}">
  <sheetPr codeName="Sheet23">
    <tabColor theme="3" tint="0.59999389629810485"/>
  </sheetPr>
  <dimension ref="A1:I200"/>
  <sheetViews>
    <sheetView showGridLines="0" zoomScale="85" zoomScaleNormal="85" workbookViewId="0">
      <selection activeCell="L20" sqref="L20"/>
    </sheetView>
  </sheetViews>
  <sheetFormatPr defaultColWidth="8.875" defaultRowHeight="14.25"/>
  <cols>
    <col min="1" max="1" width="14.75" customWidth="1"/>
    <col min="2" max="2" width="31.625" customWidth="1"/>
    <col min="3" max="3" width="32.375" customWidth="1"/>
    <col min="4" max="4" width="26" customWidth="1"/>
    <col min="5" max="6" width="18.75" customWidth="1"/>
    <col min="7" max="7" width="17.875" customWidth="1"/>
    <col min="8" max="8" width="20.125" bestFit="1" customWidth="1"/>
    <col min="9" max="10" width="6.75" customWidth="1"/>
    <col min="11" max="13" width="5.75" customWidth="1"/>
  </cols>
  <sheetData>
    <row r="1" spans="1:9" ht="24.6" customHeight="1">
      <c r="A1" s="74" t="s">
        <v>1168</v>
      </c>
      <c r="B1" s="232"/>
      <c r="C1" s="232"/>
      <c r="D1" s="232"/>
      <c r="E1" s="232"/>
      <c r="F1" s="232"/>
      <c r="G1" s="232"/>
    </row>
    <row r="2" spans="1:9" ht="18.75" customHeight="1">
      <c r="A2" s="198" t="s">
        <v>304</v>
      </c>
      <c r="B2" s="110"/>
      <c r="C2" s="110"/>
      <c r="D2" s="110"/>
      <c r="E2" s="110"/>
      <c r="F2" s="110"/>
      <c r="G2" s="110"/>
    </row>
    <row r="3" spans="1:9">
      <c r="A3" s="112" t="s">
        <v>1339</v>
      </c>
      <c r="B3" s="110"/>
      <c r="C3" s="110"/>
      <c r="D3" s="110"/>
      <c r="E3" s="110"/>
      <c r="F3" s="110"/>
      <c r="G3" s="110"/>
    </row>
    <row r="4" spans="1:9" ht="18.75" customHeight="1">
      <c r="A4" s="945" t="s">
        <v>4298</v>
      </c>
      <c r="B4" s="946"/>
      <c r="C4" s="946"/>
      <c r="D4" s="946"/>
      <c r="E4" s="946"/>
      <c r="F4" s="946"/>
      <c r="G4" s="946"/>
    </row>
    <row r="5" spans="1:9">
      <c r="A5" s="1560" t="s">
        <v>4321</v>
      </c>
      <c r="B5" s="1560"/>
      <c r="C5" s="1560"/>
      <c r="D5" s="1560"/>
      <c r="E5" s="1560"/>
      <c r="F5" s="1560"/>
      <c r="G5" s="1560"/>
      <c r="H5" s="233"/>
    </row>
    <row r="6" spans="1:9" ht="15">
      <c r="A6" s="1560" t="s">
        <v>4322</v>
      </c>
      <c r="B6" s="1560"/>
      <c r="C6" s="1560"/>
      <c r="D6" s="1560"/>
      <c r="E6" s="1560"/>
      <c r="F6" s="1560"/>
      <c r="G6" s="1560"/>
      <c r="H6" s="233"/>
      <c r="I6" s="234"/>
    </row>
    <row r="7" spans="1:9">
      <c r="A7" s="945" t="s">
        <v>4297</v>
      </c>
      <c r="B7" s="946"/>
      <c r="C7" s="946"/>
      <c r="D7" s="946"/>
      <c r="E7" s="946"/>
      <c r="F7" s="946"/>
      <c r="G7" s="946"/>
    </row>
    <row r="8" spans="1:9">
      <c r="A8" s="1559" t="s">
        <v>4312</v>
      </c>
      <c r="B8" s="1560"/>
      <c r="C8" s="1560"/>
      <c r="D8" s="1560"/>
      <c r="E8" s="1560"/>
      <c r="F8" s="1560"/>
      <c r="G8" s="1560"/>
    </row>
    <row r="9" spans="1:9">
      <c r="A9" s="1558" t="s">
        <v>4323</v>
      </c>
      <c r="B9" s="1558"/>
      <c r="C9" s="1558"/>
      <c r="D9" s="1558"/>
      <c r="E9" s="1558"/>
      <c r="F9" s="1558"/>
      <c r="G9" s="1558"/>
    </row>
    <row r="10" spans="1:9">
      <c r="A10" s="1559" t="s">
        <v>4299</v>
      </c>
      <c r="B10" s="1560"/>
      <c r="C10" s="1560"/>
      <c r="D10" s="1560"/>
      <c r="E10" s="1560"/>
      <c r="F10" s="1560"/>
      <c r="G10" s="1560"/>
    </row>
    <row r="11" spans="1:9">
      <c r="A11" s="1558" t="s">
        <v>4324</v>
      </c>
      <c r="B11" s="1558"/>
      <c r="C11" s="1558"/>
      <c r="D11" s="1558"/>
      <c r="E11" s="1558"/>
      <c r="F11" s="1558"/>
      <c r="G11" s="1558"/>
    </row>
    <row r="12" spans="1:9">
      <c r="A12" s="1558" t="s">
        <v>4325</v>
      </c>
      <c r="B12" s="1558"/>
      <c r="C12" s="1558"/>
      <c r="D12" s="1558"/>
      <c r="E12" s="1558"/>
      <c r="F12" s="1558"/>
      <c r="G12" s="1558"/>
    </row>
    <row r="13" spans="1:9">
      <c r="A13" s="945" t="s">
        <v>4326</v>
      </c>
      <c r="B13" s="946"/>
      <c r="C13" s="946"/>
      <c r="D13" s="946"/>
      <c r="E13" s="946"/>
      <c r="F13" s="946"/>
      <c r="G13" s="946"/>
    </row>
    <row r="14" spans="1:9">
      <c r="A14" s="1560" t="s">
        <v>4327</v>
      </c>
      <c r="B14" s="1560"/>
      <c r="C14" s="1560"/>
      <c r="D14" s="1560"/>
      <c r="E14" s="1560"/>
      <c r="F14" s="1560"/>
      <c r="G14" s="1560"/>
    </row>
    <row r="15" spans="1:9" ht="18.75" customHeight="1">
      <c r="A15" s="944"/>
      <c r="B15" s="944"/>
      <c r="C15" s="944"/>
      <c r="D15" s="944"/>
      <c r="E15" s="944"/>
      <c r="F15" s="944"/>
      <c r="G15" s="944"/>
    </row>
    <row r="16" spans="1:9" ht="18.75" customHeight="1"/>
    <row r="17" spans="1:7" ht="18.75" customHeight="1"/>
    <row r="18" spans="1:7" ht="18.75" customHeight="1"/>
    <row r="19" spans="1:7" ht="9.75" customHeight="1">
      <c r="A19" s="832"/>
      <c r="B19" s="832"/>
      <c r="C19" s="832"/>
      <c r="D19" s="832"/>
      <c r="E19" s="832"/>
      <c r="F19" s="832"/>
      <c r="G19" s="832"/>
    </row>
    <row r="20" spans="1:7" ht="18.75" customHeight="1">
      <c r="A20" s="203" t="s">
        <v>4196</v>
      </c>
      <c r="B20" s="237"/>
      <c r="C20" s="237"/>
      <c r="D20" s="237"/>
      <c r="E20" s="237"/>
      <c r="F20" s="237"/>
      <c r="G20" s="237"/>
    </row>
    <row r="21" spans="1:7">
      <c r="A21" s="204" t="s">
        <v>1237</v>
      </c>
    </row>
    <row r="22" spans="1:7">
      <c r="A22" s="204" t="s">
        <v>1352</v>
      </c>
    </row>
    <row r="23" spans="1:7" ht="9" customHeight="1">
      <c r="A23" s="204"/>
    </row>
    <row r="24" spans="1:7">
      <c r="B24" s="814" t="s">
        <v>312</v>
      </c>
      <c r="C24" s="814" t="s">
        <v>312</v>
      </c>
      <c r="D24" s="814" t="s">
        <v>312</v>
      </c>
      <c r="E24" s="814" t="s">
        <v>312</v>
      </c>
    </row>
    <row r="25" spans="1:7" ht="45">
      <c r="A25" s="205" t="s">
        <v>1238</v>
      </c>
      <c r="B25" s="206" t="s">
        <v>319</v>
      </c>
      <c r="C25" s="206" t="s">
        <v>1271</v>
      </c>
      <c r="D25" s="215" t="s">
        <v>4313</v>
      </c>
      <c r="E25" s="216" t="s">
        <v>4193</v>
      </c>
      <c r="F25" s="216" t="s">
        <v>1353</v>
      </c>
      <c r="G25" s="216" t="s">
        <v>322</v>
      </c>
    </row>
    <row r="26" spans="1:7" ht="15">
      <c r="A26" s="207">
        <v>1</v>
      </c>
      <c r="B26" s="147" t="s">
        <v>1354</v>
      </c>
      <c r="C26" s="238" t="s">
        <v>217</v>
      </c>
      <c r="D26" s="238" t="s">
        <v>211</v>
      </c>
      <c r="E26" s="239">
        <v>20000</v>
      </c>
      <c r="F26" s="210">
        <f>IF(OR(C26="",D26=""),"",VLOOKUP(C26,EF!$N$6:$R$13,IF(D26="recycled",2,IF(D26="landfilled",3,IF(D26="combusted (incineration)",4,5))),FALSE))</f>
        <v>7.0000000000000007E-2</v>
      </c>
      <c r="G26" s="240">
        <f t="shared" ref="G26:G45" si="0">IFERROR(E26*F26,"")</f>
        <v>1400.0000000000002</v>
      </c>
    </row>
    <row r="27" spans="1:7" ht="15">
      <c r="A27" s="207">
        <v>2</v>
      </c>
      <c r="B27" s="157"/>
      <c r="C27" s="150"/>
      <c r="D27" s="157"/>
      <c r="E27" s="241"/>
      <c r="F27" s="213" t="str">
        <f>IF(OR(C27="",D27=""),"",VLOOKUP(C27,EF!$N$6:$R$13,IF(D27="recycled",2,IF(D27="landfilled",3,IF(D27="combusted (incineration)",4,5))),FALSE))</f>
        <v/>
      </c>
      <c r="G27" s="217" t="str">
        <f t="shared" si="0"/>
        <v/>
      </c>
    </row>
    <row r="28" spans="1:7" ht="15">
      <c r="A28" s="207">
        <v>3</v>
      </c>
      <c r="B28" s="157"/>
      <c r="C28" s="150"/>
      <c r="D28" s="157"/>
      <c r="E28" s="241"/>
      <c r="F28" s="213" t="str">
        <f>IF(OR(C28="",D28=""),"",VLOOKUP(C28,EF!$N$6:$R$13,IF(D28="recycled",2,IF(D28="landfilled",3,IF(D28="combusted (incineration)",4,5))),FALSE))</f>
        <v/>
      </c>
      <c r="G28" s="217" t="str">
        <f>IFERROR(E28*F28,"")</f>
        <v/>
      </c>
    </row>
    <row r="29" spans="1:7" ht="15">
      <c r="A29" s="207">
        <v>4</v>
      </c>
      <c r="B29" s="157"/>
      <c r="C29" s="150"/>
      <c r="D29" s="157"/>
      <c r="E29" s="241"/>
      <c r="F29" s="213" t="str">
        <f>IF(OR(C29="",D29=""),"",VLOOKUP(C29,EF!$N$6:$R$13,IF(D29="recycled",2,IF(D29="landfilled",3,IF(D29="combusted (incineration)",4,5))),FALSE))</f>
        <v/>
      </c>
      <c r="G29" s="217" t="str">
        <f t="shared" si="0"/>
        <v/>
      </c>
    </row>
    <row r="30" spans="1:7" ht="15">
      <c r="A30" s="207">
        <v>5</v>
      </c>
      <c r="B30" s="157"/>
      <c r="C30" s="150"/>
      <c r="D30" s="157"/>
      <c r="E30" s="241"/>
      <c r="F30" s="213" t="str">
        <f>IF(OR(C30="",D30=""),"",VLOOKUP(C30,EF!$N$6:$R$13,IF(D30="recycled",2,IF(D30="landfilled",3,IF(D30="combusted (incineration)",4,5))),FALSE))</f>
        <v/>
      </c>
      <c r="G30" s="217" t="str">
        <f t="shared" si="0"/>
        <v/>
      </c>
    </row>
    <row r="31" spans="1:7" ht="15">
      <c r="A31" s="207">
        <v>6</v>
      </c>
      <c r="B31" s="157"/>
      <c r="C31" s="150"/>
      <c r="D31" s="157"/>
      <c r="E31" s="241"/>
      <c r="F31" s="213" t="str">
        <f>IF(OR(C31="",D31=""),"",VLOOKUP(C31,EF!$N$6:$R$13,IF(D31="recycled",2,IF(D31="landfilled",3,IF(D31="combusted (incineration)",4,5))),FALSE))</f>
        <v/>
      </c>
      <c r="G31" s="217" t="str">
        <f t="shared" si="0"/>
        <v/>
      </c>
    </row>
    <row r="32" spans="1:7" ht="15">
      <c r="A32" s="207">
        <v>7</v>
      </c>
      <c r="B32" s="157"/>
      <c r="C32" s="150"/>
      <c r="D32" s="157"/>
      <c r="E32" s="241"/>
      <c r="F32" s="213" t="str">
        <f>IF(OR(C32="",D32=""),"",VLOOKUP(C32,EF!$N$6:$R$13,IF(D32="recycled",2,IF(D32="landfilled",3,IF(D32="combusted (incineration)",4,5))),FALSE))</f>
        <v/>
      </c>
      <c r="G32" s="217" t="str">
        <f t="shared" si="0"/>
        <v/>
      </c>
    </row>
    <row r="33" spans="1:8" ht="15">
      <c r="A33" s="207">
        <v>8</v>
      </c>
      <c r="B33" s="157"/>
      <c r="C33" s="150"/>
      <c r="D33" s="157"/>
      <c r="E33" s="241"/>
      <c r="F33" s="213" t="str">
        <f>IF(OR(C33="",D33=""),"",VLOOKUP(C33,EF!$N$6:$R$13,IF(D33="recycled",2,IF(D33="landfilled",3,IF(D33="combusted (incineration)",4,5))),FALSE))</f>
        <v/>
      </c>
      <c r="G33" s="217" t="str">
        <f t="shared" si="0"/>
        <v/>
      </c>
    </row>
    <row r="34" spans="1:8" ht="15">
      <c r="A34" s="207">
        <v>9</v>
      </c>
      <c r="B34" s="157"/>
      <c r="C34" s="150"/>
      <c r="D34" s="157"/>
      <c r="E34" s="241"/>
      <c r="F34" s="213" t="str">
        <f>IF(OR(C34="",D34=""),"",VLOOKUP(C34,EF!$N$6:$R$13,IF(D34="recycled",2,IF(D34="landfilled",3,IF(D34="combusted (incineration)",4,5))),FALSE))</f>
        <v/>
      </c>
      <c r="G34" s="217" t="str">
        <f t="shared" si="0"/>
        <v/>
      </c>
    </row>
    <row r="35" spans="1:8" ht="15">
      <c r="A35" s="207">
        <v>10</v>
      </c>
      <c r="B35" s="157"/>
      <c r="C35" s="150"/>
      <c r="D35" s="157"/>
      <c r="E35" s="241"/>
      <c r="F35" s="213" t="str">
        <f>IF(OR(C35="",D35=""),"",VLOOKUP(C35,EF!$N$6:$R$13,IF(D35="recycled",2,IF(D35="landfilled",3,IF(D35="combusted (incineration)",4,5))),FALSE))</f>
        <v/>
      </c>
      <c r="G35" s="217" t="str">
        <f t="shared" si="0"/>
        <v/>
      </c>
    </row>
    <row r="36" spans="1:8" ht="15">
      <c r="A36" s="207">
        <v>11</v>
      </c>
      <c r="B36" s="157"/>
      <c r="C36" s="150"/>
      <c r="D36" s="157"/>
      <c r="E36" s="241"/>
      <c r="F36" s="213" t="str">
        <f>IF(OR(C36="",D36=""),"",VLOOKUP(C36,EF!$N$6:$R$13,IF(D36="recycled",2,IF(D36="landfilled",3,IF(D36="combusted (incineration)",4,5))),FALSE))</f>
        <v/>
      </c>
      <c r="G36" s="217" t="str">
        <f t="shared" si="0"/>
        <v/>
      </c>
    </row>
    <row r="37" spans="1:8" ht="15">
      <c r="A37" s="207">
        <v>12</v>
      </c>
      <c r="B37" s="157"/>
      <c r="C37" s="150"/>
      <c r="D37" s="157"/>
      <c r="E37" s="241"/>
      <c r="F37" s="213" t="str">
        <f>IF(OR(C37="",D37=""),"",VLOOKUP(C37,EF!$N$6:$R$13,IF(D37="recycled",2,IF(D37="landfilled",3,IF(D37="combusted (incineration)",4,5))),FALSE))</f>
        <v/>
      </c>
      <c r="G37" s="217" t="str">
        <f t="shared" si="0"/>
        <v/>
      </c>
    </row>
    <row r="38" spans="1:8" ht="15">
      <c r="A38" s="207">
        <v>13</v>
      </c>
      <c r="B38" s="157"/>
      <c r="C38" s="150"/>
      <c r="D38" s="157"/>
      <c r="E38" s="241"/>
      <c r="F38" s="213" t="str">
        <f>IF(OR(C38="",D38=""),"",VLOOKUP(C38,EF!$N$6:$R$13,IF(D38="recycled",2,IF(D38="landfilled",3,IF(D38="combusted (incineration)",4,5))),FALSE))</f>
        <v/>
      </c>
      <c r="G38" s="217" t="str">
        <f t="shared" si="0"/>
        <v/>
      </c>
    </row>
    <row r="39" spans="1:8" ht="15">
      <c r="A39" s="207">
        <v>14</v>
      </c>
      <c r="B39" s="157"/>
      <c r="C39" s="150"/>
      <c r="D39" s="157"/>
      <c r="E39" s="241"/>
      <c r="F39" s="213" t="str">
        <f>IF(OR(C39="",D39=""),"",VLOOKUP(C39,EF!$N$6:$R$13,IF(D39="recycled",2,IF(D39="landfilled",3,IF(D39="combusted (incineration)",4,5))),FALSE))</f>
        <v/>
      </c>
      <c r="G39" s="217" t="str">
        <f t="shared" si="0"/>
        <v/>
      </c>
    </row>
    <row r="40" spans="1:8" ht="15">
      <c r="A40" s="207">
        <v>15</v>
      </c>
      <c r="B40" s="157"/>
      <c r="C40" s="150"/>
      <c r="D40" s="157"/>
      <c r="E40" s="241"/>
      <c r="F40" s="213" t="str">
        <f>IF(OR(C40="",D40=""),"",VLOOKUP(C40,EF!$N$6:$R$13,IF(D40="recycled",2,IF(D40="landfilled",3,IF(D40="combusted (incineration)",4,5))),FALSE))</f>
        <v/>
      </c>
      <c r="G40" s="217" t="str">
        <f t="shared" si="0"/>
        <v/>
      </c>
    </row>
    <row r="41" spans="1:8" ht="15">
      <c r="A41" s="207">
        <v>16</v>
      </c>
      <c r="B41" s="157"/>
      <c r="C41" s="150"/>
      <c r="D41" s="157"/>
      <c r="E41" s="241"/>
      <c r="F41" s="213" t="str">
        <f>IF(OR(C41="",D41=""),"",VLOOKUP(C41,EF!$N$6:$R$13,IF(D41="recycled",2,IF(D41="landfilled",3,IF(D41="combusted (incineration)",4,5))),FALSE))</f>
        <v/>
      </c>
      <c r="G41" s="217" t="str">
        <f t="shared" si="0"/>
        <v/>
      </c>
    </row>
    <row r="42" spans="1:8" ht="15">
      <c r="A42" s="207">
        <v>17</v>
      </c>
      <c r="B42" s="157"/>
      <c r="C42" s="150"/>
      <c r="D42" s="157"/>
      <c r="E42" s="241"/>
      <c r="F42" s="213" t="str">
        <f>IF(OR(C42="",D42=""),"",VLOOKUP(C42,EF!$N$6:$R$13,IF(D42="recycled",2,IF(D42="landfilled",3,IF(D42="combusted (incineration)",4,5))),FALSE))</f>
        <v/>
      </c>
      <c r="G42" s="217" t="str">
        <f t="shared" si="0"/>
        <v/>
      </c>
    </row>
    <row r="43" spans="1:8" ht="15">
      <c r="A43" s="207">
        <v>18</v>
      </c>
      <c r="B43" s="157"/>
      <c r="C43" s="150"/>
      <c r="D43" s="157"/>
      <c r="E43" s="241"/>
      <c r="F43" s="213" t="str">
        <f>IF(OR(C43="",D43=""),"",VLOOKUP(C43,EF!$N$6:$R$13,IF(D43="recycled",2,IF(D43="landfilled",3,IF(D43="combusted (incineration)",4,5))),FALSE))</f>
        <v/>
      </c>
      <c r="G43" s="217" t="str">
        <f t="shared" si="0"/>
        <v/>
      </c>
    </row>
    <row r="44" spans="1:8" ht="15">
      <c r="A44" s="207">
        <v>19</v>
      </c>
      <c r="B44" s="157"/>
      <c r="C44" s="150"/>
      <c r="D44" s="157"/>
      <c r="E44" s="241"/>
      <c r="F44" s="213" t="str">
        <f>IF(OR(C44="",D44=""),"",VLOOKUP(C44,EF!$N$6:$R$13,IF(D44="recycled",2,IF(D44="landfilled",3,IF(D44="combusted (incineration)",4,5))),FALSE))</f>
        <v/>
      </c>
      <c r="G44" s="217" t="str">
        <f t="shared" si="0"/>
        <v/>
      </c>
    </row>
    <row r="45" spans="1:8" ht="15.75" thickBot="1">
      <c r="A45" s="207">
        <v>20</v>
      </c>
      <c r="B45" s="157"/>
      <c r="C45" s="150"/>
      <c r="D45" s="157"/>
      <c r="E45" s="241"/>
      <c r="F45" s="213" t="str">
        <f>IF(OR(C45="",D45=""),"",VLOOKUP(C45,EF!$N$6:$R$13,IF(D45="recycled",2,IF(D45="landfilled",3,IF(D45="combusted (incineration)",4,5))),FALSE))</f>
        <v/>
      </c>
      <c r="G45" s="217" t="str">
        <f t="shared" si="0"/>
        <v/>
      </c>
    </row>
    <row r="46" spans="1:8" ht="15" thickBot="1">
      <c r="F46" s="218" t="s">
        <v>1268</v>
      </c>
      <c r="G46" s="179">
        <f>SUM(G27:G45)</f>
        <v>0</v>
      </c>
    </row>
    <row r="47" spans="1:8" ht="9" customHeight="1" thickBot="1">
      <c r="A47" s="204"/>
    </row>
    <row r="48" spans="1:8" ht="19.5" thickBot="1">
      <c r="A48" s="203" t="s">
        <v>4197</v>
      </c>
      <c r="F48" s="256" t="s">
        <v>1268</v>
      </c>
      <c r="G48" s="257"/>
      <c r="H48" s="236" t="s">
        <v>4091</v>
      </c>
    </row>
    <row r="49" spans="1:7">
      <c r="A49" s="204" t="s">
        <v>1237</v>
      </c>
    </row>
    <row r="50" spans="1:7" ht="9" customHeight="1">
      <c r="A50" s="204"/>
    </row>
    <row r="51" spans="1:7">
      <c r="B51" s="814" t="s">
        <v>312</v>
      </c>
      <c r="C51" s="814" t="s">
        <v>312</v>
      </c>
    </row>
    <row r="52" spans="1:7" ht="15">
      <c r="A52" s="205" t="s">
        <v>1238</v>
      </c>
      <c r="B52" s="206" t="s">
        <v>319</v>
      </c>
      <c r="C52" s="215" t="s">
        <v>1355</v>
      </c>
      <c r="D52" s="216" t="s">
        <v>322</v>
      </c>
    </row>
    <row r="53" spans="1:7" ht="15">
      <c r="A53" s="207">
        <v>1</v>
      </c>
      <c r="B53" s="903" t="s">
        <v>1356</v>
      </c>
      <c r="C53" s="253">
        <v>1000000</v>
      </c>
      <c r="D53" s="948">
        <f>IF(C53="","",C53*Conversions!$C$40*EF!$R$23/1000000/1000)</f>
        <v>0.64683409676824588</v>
      </c>
    </row>
    <row r="54" spans="1:7" ht="15">
      <c r="A54" s="207">
        <v>2</v>
      </c>
      <c r="B54" s="904"/>
      <c r="C54" s="159"/>
      <c r="D54" s="935" t="str">
        <f>IF(C54="","",C54*Conversions!$C$40*EF!$R$23/1000000/1000)</f>
        <v/>
      </c>
    </row>
    <row r="55" spans="1:7" ht="15">
      <c r="A55" s="207">
        <v>3</v>
      </c>
      <c r="B55" s="904"/>
      <c r="C55" s="159"/>
      <c r="D55" s="935" t="str">
        <f>IF(C55="","",C55*Conversions!$C$40*EF!$R$23/1000000/1000)</f>
        <v/>
      </c>
    </row>
    <row r="56" spans="1:7" ht="15">
      <c r="A56" s="207">
        <v>4</v>
      </c>
      <c r="B56" s="904"/>
      <c r="C56" s="159"/>
      <c r="D56" s="935" t="str">
        <f>IF(C56="","",C56*Conversions!$C$40*EF!$R$23/1000000/1000)</f>
        <v/>
      </c>
    </row>
    <row r="57" spans="1:7" ht="15">
      <c r="A57" s="207">
        <v>5</v>
      </c>
      <c r="B57" s="904"/>
      <c r="C57" s="159"/>
      <c r="D57" s="935" t="str">
        <f>IF(C57="","",C57*Conversions!$C$40*EF!$R$23/1000000/1000)</f>
        <v/>
      </c>
    </row>
    <row r="58" spans="1:7" ht="15">
      <c r="A58" s="207">
        <v>6</v>
      </c>
      <c r="B58" s="904"/>
      <c r="C58" s="159"/>
      <c r="D58" s="935" t="str">
        <f>IF(C58="","",C58*Conversions!$C$40*EF!$R$23/1000000/1000)</f>
        <v/>
      </c>
    </row>
    <row r="59" spans="1:7" ht="15">
      <c r="A59" s="207">
        <v>7</v>
      </c>
      <c r="B59" s="904"/>
      <c r="C59" s="159"/>
      <c r="D59" s="935" t="str">
        <f>IF(C59="","",C59*Conversions!$C$40*EF!$R$23/1000000/1000)</f>
        <v/>
      </c>
    </row>
    <row r="60" spans="1:7" ht="15">
      <c r="A60" s="207">
        <v>8</v>
      </c>
      <c r="B60" s="904"/>
      <c r="C60" s="159"/>
      <c r="D60" s="935" t="str">
        <f>IF(C60="","",C60*Conversions!$C$40*EF!$R$23/1000000/1000)</f>
        <v/>
      </c>
    </row>
    <row r="61" spans="1:7" ht="15">
      <c r="A61" s="207">
        <v>9</v>
      </c>
      <c r="B61" s="904"/>
      <c r="C61" s="159"/>
      <c r="D61" s="935" t="str">
        <f>IF(C61="","",C61*Conversions!$C$40*EF!$R$23/1000000/1000)</f>
        <v/>
      </c>
    </row>
    <row r="62" spans="1:7" ht="15">
      <c r="A62" s="207">
        <v>10</v>
      </c>
      <c r="B62" s="904"/>
      <c r="C62" s="159"/>
      <c r="D62" s="935" t="str">
        <f>IF(C62="","",C62*Conversions!$C$40*EF!$R$23/1000000/1000)</f>
        <v/>
      </c>
    </row>
    <row r="63" spans="1:7" ht="15">
      <c r="A63" s="207">
        <v>11</v>
      </c>
      <c r="B63" s="904"/>
      <c r="C63" s="159"/>
      <c r="D63" s="935" t="str">
        <f>IF(C63="","",C63*Conversions!$C$40*EF!$R$23/1000000/1000)</f>
        <v/>
      </c>
      <c r="G63" s="236"/>
    </row>
    <row r="64" spans="1:7" ht="15">
      <c r="A64" s="207">
        <v>12</v>
      </c>
      <c r="B64" s="904"/>
      <c r="C64" s="159"/>
      <c r="D64" s="935" t="str">
        <f>IF(C64="","",C64*Conversions!$C$40*EF!$R$23/1000000/1000)</f>
        <v/>
      </c>
    </row>
    <row r="65" spans="1:5" ht="15">
      <c r="A65" s="207">
        <v>13</v>
      </c>
      <c r="B65" s="904"/>
      <c r="C65" s="159"/>
      <c r="D65" s="935" t="str">
        <f>IF(C65="","",C65*Conversions!$C$40*EF!$R$23/1000000/1000)</f>
        <v/>
      </c>
    </row>
    <row r="66" spans="1:5" ht="15">
      <c r="A66" s="207">
        <v>14</v>
      </c>
      <c r="B66" s="904"/>
      <c r="C66" s="159"/>
      <c r="D66" s="935" t="str">
        <f>IF(C66="","",C66*Conversions!$C$40*EF!$R$23/1000000/1000)</f>
        <v/>
      </c>
    </row>
    <row r="67" spans="1:5" ht="15">
      <c r="A67" s="207">
        <v>15</v>
      </c>
      <c r="B67" s="904"/>
      <c r="C67" s="159"/>
      <c r="D67" s="935" t="str">
        <f>IF(C67="","",C67*Conversions!$C$40*EF!$R$23/1000000/1000)</f>
        <v/>
      </c>
    </row>
    <row r="68" spans="1:5" ht="15">
      <c r="A68" s="207">
        <v>16</v>
      </c>
      <c r="B68" s="904"/>
      <c r="C68" s="159"/>
      <c r="D68" s="935" t="str">
        <f>IF(C68="","",C68*Conversions!$C$40*EF!$R$23/1000000/1000)</f>
        <v/>
      </c>
    </row>
    <row r="69" spans="1:5" ht="15">
      <c r="A69" s="207">
        <v>17</v>
      </c>
      <c r="B69" s="904"/>
      <c r="C69" s="159"/>
      <c r="D69" s="935" t="str">
        <f>IF(C69="","",C69*Conversions!$C$40*EF!$R$23/1000000/1000)</f>
        <v/>
      </c>
    </row>
    <row r="70" spans="1:5" ht="15">
      <c r="A70" s="207">
        <v>18</v>
      </c>
      <c r="B70" s="904"/>
      <c r="C70" s="159"/>
      <c r="D70" s="935" t="str">
        <f>IF(C70="","",C70*Conversions!$C$40*EF!$R$23/1000000/1000)</f>
        <v/>
      </c>
    </row>
    <row r="71" spans="1:5" ht="15">
      <c r="A71" s="207">
        <v>19</v>
      </c>
      <c r="B71" s="904"/>
      <c r="C71" s="159"/>
      <c r="D71" s="935" t="str">
        <f>IF(C71="","",C71*Conversions!$C$40*EF!$R$23/1000000/1000)</f>
        <v/>
      </c>
    </row>
    <row r="72" spans="1:5" ht="15.75" thickBot="1">
      <c r="A72" s="207">
        <v>20</v>
      </c>
      <c r="B72" s="904"/>
      <c r="C72" s="159"/>
      <c r="D72" s="935" t="str">
        <f>IF(C72="","",C72*Conversions!$C$40*EF!$R$23/1000000/1000)</f>
        <v/>
      </c>
    </row>
    <row r="73" spans="1:5" ht="15" thickBot="1">
      <c r="C73" s="218" t="s">
        <v>1268</v>
      </c>
      <c r="D73" s="242">
        <f>SUM(D54:D72)</f>
        <v>0</v>
      </c>
    </row>
    <row r="74" spans="1:5" ht="9" customHeight="1" thickBot="1">
      <c r="A74" s="204"/>
    </row>
    <row r="75" spans="1:5" ht="15" thickBot="1">
      <c r="A75" s="204"/>
      <c r="C75" s="256" t="s">
        <v>1268</v>
      </c>
      <c r="D75" s="257"/>
      <c r="E75" s="236" t="s">
        <v>4091</v>
      </c>
    </row>
    <row r="76" spans="1:5" ht="9" customHeight="1">
      <c r="A76" s="204"/>
    </row>
    <row r="77" spans="1:5" ht="18.75">
      <c r="A77" s="203" t="s">
        <v>4296</v>
      </c>
    </row>
    <row r="78" spans="1:5">
      <c r="A78" s="204" t="s">
        <v>1237</v>
      </c>
    </row>
    <row r="79" spans="1:5" ht="9" customHeight="1">
      <c r="A79" s="204"/>
    </row>
    <row r="80" spans="1:5">
      <c r="B80" s="814" t="s">
        <v>312</v>
      </c>
      <c r="C80" s="814" t="s">
        <v>312</v>
      </c>
      <c r="D80" s="814" t="s">
        <v>312</v>
      </c>
    </row>
    <row r="81" spans="1:5" ht="41.25" customHeight="1">
      <c r="A81" s="205" t="s">
        <v>1238</v>
      </c>
      <c r="B81" s="205" t="s">
        <v>319</v>
      </c>
      <c r="C81" s="216" t="s">
        <v>4332</v>
      </c>
      <c r="D81" s="216" t="s">
        <v>4194</v>
      </c>
      <c r="E81" s="205" t="s">
        <v>322</v>
      </c>
    </row>
    <row r="82" spans="1:5" ht="15">
      <c r="A82" s="207">
        <v>1</v>
      </c>
      <c r="B82" s="147" t="s">
        <v>4090</v>
      </c>
      <c r="C82" s="147" t="s">
        <v>4195</v>
      </c>
      <c r="D82" s="239">
        <v>1000</v>
      </c>
      <c r="E82" s="900">
        <f>IF(D82="","",VLOOKUP(C82,EF!$P$35:$Q$36,2,FALSE)*D82)</f>
        <v>549</v>
      </c>
    </row>
    <row r="83" spans="1:5" ht="15">
      <c r="A83" s="207">
        <v>2</v>
      </c>
      <c r="B83" s="902"/>
      <c r="C83" s="902"/>
      <c r="D83" s="158"/>
      <c r="E83" s="934" t="str">
        <f>IF(D83="","",VLOOKUP(C83,EF!$P$35:$Q$36,2,FALSE)*D83)</f>
        <v/>
      </c>
    </row>
    <row r="84" spans="1:5" ht="15">
      <c r="A84" s="207">
        <v>3</v>
      </c>
      <c r="B84" s="902"/>
      <c r="C84" s="902"/>
      <c r="D84" s="158"/>
      <c r="E84" s="934" t="str">
        <f>IF(D84="","",VLOOKUP(C84,EF!$P$35:$Q$36,2,FALSE)*D84)</f>
        <v/>
      </c>
    </row>
    <row r="85" spans="1:5" ht="15">
      <c r="A85" s="207">
        <v>4</v>
      </c>
      <c r="B85" s="902"/>
      <c r="C85" s="902"/>
      <c r="D85" s="158"/>
      <c r="E85" s="934" t="str">
        <f>IF(D85="","",VLOOKUP(C85,EF!$P$35:$Q$36,2,FALSE)*D85)</f>
        <v/>
      </c>
    </row>
    <row r="86" spans="1:5" ht="15">
      <c r="A86" s="207">
        <v>5</v>
      </c>
      <c r="B86" s="902"/>
      <c r="C86" s="902"/>
      <c r="D86" s="158"/>
      <c r="E86" s="934" t="str">
        <f>IF(D86="","",VLOOKUP(C86,EF!$P$35:$Q$36,2,FALSE)*D86)</f>
        <v/>
      </c>
    </row>
    <row r="87" spans="1:5" ht="15">
      <c r="A87" s="207">
        <v>6</v>
      </c>
      <c r="B87" s="902"/>
      <c r="C87" s="902"/>
      <c r="D87" s="158"/>
      <c r="E87" s="934" t="str">
        <f>IF(D87="","",VLOOKUP(C87,EF!$P$35:$Q$36,2,FALSE)*D87)</f>
        <v/>
      </c>
    </row>
    <row r="88" spans="1:5" ht="15">
      <c r="A88" s="207">
        <v>7</v>
      </c>
      <c r="B88" s="902"/>
      <c r="C88" s="902"/>
      <c r="D88" s="158"/>
      <c r="E88" s="934" t="str">
        <f>IF(D88="","",VLOOKUP(C88,EF!$P$35:$Q$36,2,FALSE)*D88)</f>
        <v/>
      </c>
    </row>
    <row r="89" spans="1:5" ht="15">
      <c r="A89" s="207">
        <v>8</v>
      </c>
      <c r="B89" s="902"/>
      <c r="C89" s="902"/>
      <c r="D89" s="158"/>
      <c r="E89" s="934" t="str">
        <f>IF(D89="","",VLOOKUP(C89,EF!$P$35:$Q$36,2,FALSE)*D89)</f>
        <v/>
      </c>
    </row>
    <row r="90" spans="1:5" ht="15">
      <c r="A90" s="207">
        <v>9</v>
      </c>
      <c r="B90" s="902"/>
      <c r="C90" s="902"/>
      <c r="D90" s="158"/>
      <c r="E90" s="934" t="str">
        <f>IF(D90="","",VLOOKUP(C90,EF!$P$35:$Q$36,2,FALSE)*D90)</f>
        <v/>
      </c>
    </row>
    <row r="91" spans="1:5" ht="15">
      <c r="A91" s="207">
        <v>10</v>
      </c>
      <c r="B91" s="902"/>
      <c r="C91" s="902"/>
      <c r="D91" s="158"/>
      <c r="E91" s="934" t="str">
        <f>IF(D91="","",VLOOKUP(C91,EF!$P$35:$Q$36,2,FALSE)*D91)</f>
        <v/>
      </c>
    </row>
    <row r="92" spans="1:5" ht="15">
      <c r="A92" s="207">
        <v>11</v>
      </c>
      <c r="B92" s="902"/>
      <c r="C92" s="902"/>
      <c r="D92" s="158"/>
      <c r="E92" s="934" t="str">
        <f>IF(D92="","",VLOOKUP(C92,EF!$P$35:$Q$36,2,FALSE)*D92)</f>
        <v/>
      </c>
    </row>
    <row r="93" spans="1:5" ht="15">
      <c r="A93" s="207">
        <v>12</v>
      </c>
      <c r="B93" s="902"/>
      <c r="C93" s="902"/>
      <c r="D93" s="158"/>
      <c r="E93" s="934" t="str">
        <f>IF(D93="","",VLOOKUP(C93,EF!$P$35:$Q$36,2,FALSE)*D93)</f>
        <v/>
      </c>
    </row>
    <row r="94" spans="1:5" ht="15">
      <c r="A94" s="207">
        <v>13</v>
      </c>
      <c r="B94" s="902"/>
      <c r="C94" s="902"/>
      <c r="D94" s="158"/>
      <c r="E94" s="934" t="str">
        <f>IF(D94="","",VLOOKUP(C94,EF!$P$35:$Q$36,2,FALSE)*D94)</f>
        <v/>
      </c>
    </row>
    <row r="95" spans="1:5" ht="15">
      <c r="A95" s="207">
        <v>14</v>
      </c>
      <c r="B95" s="902"/>
      <c r="C95" s="902"/>
      <c r="D95" s="158"/>
      <c r="E95" s="934" t="str">
        <f>IF(D95="","",VLOOKUP(C95,EF!$P$35:$Q$36,2,FALSE)*D95)</f>
        <v/>
      </c>
    </row>
    <row r="96" spans="1:5" ht="15">
      <c r="A96" s="207">
        <v>15</v>
      </c>
      <c r="B96" s="902"/>
      <c r="C96" s="902"/>
      <c r="D96" s="158"/>
      <c r="E96" s="934" t="str">
        <f>IF(D96="","",VLOOKUP(C96,EF!$P$35:$Q$36,2,FALSE)*D96)</f>
        <v/>
      </c>
    </row>
    <row r="97" spans="1:6" ht="15">
      <c r="A97" s="207">
        <v>16</v>
      </c>
      <c r="B97" s="902"/>
      <c r="C97" s="902"/>
      <c r="D97" s="158"/>
      <c r="E97" s="934" t="str">
        <f>IF(D97="","",VLOOKUP(C97,EF!$P$35:$Q$36,2,FALSE)*D97)</f>
        <v/>
      </c>
    </row>
    <row r="98" spans="1:6" ht="15">
      <c r="A98" s="207">
        <v>17</v>
      </c>
      <c r="B98" s="902"/>
      <c r="C98" s="902"/>
      <c r="D98" s="158"/>
      <c r="E98" s="934" t="str">
        <f>IF(D98="","",VLOOKUP(C98,EF!$P$35:$Q$36,2,FALSE)*D98)</f>
        <v/>
      </c>
    </row>
    <row r="99" spans="1:6" ht="15">
      <c r="A99" s="207">
        <v>18</v>
      </c>
      <c r="B99" s="902"/>
      <c r="C99" s="902"/>
      <c r="D99" s="158"/>
      <c r="E99" s="934" t="str">
        <f>IF(D99="","",VLOOKUP(C99,EF!$P$35:$Q$36,2,FALSE)*D99)</f>
        <v/>
      </c>
    </row>
    <row r="100" spans="1:6" ht="15">
      <c r="A100" s="207">
        <v>19</v>
      </c>
      <c r="B100" s="902"/>
      <c r="C100" s="902"/>
      <c r="D100" s="158"/>
      <c r="E100" s="934" t="str">
        <f>IF(D100="","",VLOOKUP(C100,EF!$P$35:$Q$36,2,FALSE)*D100)</f>
        <v/>
      </c>
    </row>
    <row r="101" spans="1:6" ht="15.75" thickBot="1">
      <c r="A101" s="207">
        <v>20</v>
      </c>
      <c r="B101" s="902"/>
      <c r="C101" s="902"/>
      <c r="D101" s="158"/>
      <c r="E101" s="934" t="str">
        <f>IF(D101="","",VLOOKUP(C101,EF!$P$35:$Q$36,2,FALSE)*D101)</f>
        <v/>
      </c>
    </row>
    <row r="102" spans="1:6" ht="15" thickBot="1">
      <c r="D102" s="218" t="s">
        <v>1268</v>
      </c>
      <c r="E102" s="242">
        <f>SUM(E83:E101)</f>
        <v>0</v>
      </c>
    </row>
    <row r="103" spans="1:6" ht="9" customHeight="1" thickBot="1"/>
    <row r="104" spans="1:6" ht="15" thickBot="1">
      <c r="D104" s="256" t="s">
        <v>1268</v>
      </c>
      <c r="E104" s="257"/>
      <c r="F104" s="236" t="s">
        <v>4091</v>
      </c>
    </row>
    <row r="105" spans="1:6">
      <c r="D105" s="927"/>
      <c r="E105" s="928"/>
      <c r="F105" s="236"/>
    </row>
    <row r="106" spans="1:6" ht="18">
      <c r="A106" s="931" t="s">
        <v>4295</v>
      </c>
    </row>
    <row r="107" spans="1:6" ht="18.75">
      <c r="A107" s="931" t="s">
        <v>4305</v>
      </c>
    </row>
    <row r="108" spans="1:6" ht="18">
      <c r="A108" s="931" t="s">
        <v>4306</v>
      </c>
    </row>
    <row r="109" spans="1:6" ht="9" customHeight="1">
      <c r="A109" s="204"/>
    </row>
    <row r="110" spans="1:6" ht="18.75">
      <c r="A110" s="929" t="s">
        <v>4328</v>
      </c>
    </row>
    <row r="111" spans="1:6">
      <c r="A111" s="930" t="s">
        <v>1237</v>
      </c>
    </row>
    <row r="112" spans="1:6" ht="9" customHeight="1">
      <c r="A112" s="204"/>
    </row>
    <row r="113" spans="1:4">
      <c r="B113" s="814" t="s">
        <v>312</v>
      </c>
      <c r="C113" s="814" t="s">
        <v>312</v>
      </c>
      <c r="D113" s="814"/>
    </row>
    <row r="114" spans="1:4" ht="49.5" customHeight="1">
      <c r="A114" s="205" t="s">
        <v>1238</v>
      </c>
      <c r="B114" s="933" t="s">
        <v>4294</v>
      </c>
      <c r="C114" s="216" t="s">
        <v>4304</v>
      </c>
      <c r="D114" s="205" t="s">
        <v>322</v>
      </c>
    </row>
    <row r="115" spans="1:4" ht="29.25">
      <c r="A115" s="207">
        <v>1</v>
      </c>
      <c r="B115" s="932" t="s">
        <v>4293</v>
      </c>
      <c r="C115" s="253">
        <v>5000</v>
      </c>
      <c r="D115" s="210">
        <f>IF(C115="","",C115*EF!$P$12)</f>
        <v>2900</v>
      </c>
    </row>
    <row r="116" spans="1:4" ht="15">
      <c r="A116" s="207">
        <v>2</v>
      </c>
      <c r="B116" s="902"/>
      <c r="C116" s="947"/>
      <c r="D116" s="213" t="str">
        <f>IF(C116="","",C116*EF!$P$12)</f>
        <v/>
      </c>
    </row>
    <row r="117" spans="1:4" ht="15">
      <c r="A117" s="207">
        <v>3</v>
      </c>
      <c r="B117" s="902"/>
      <c r="C117" s="947"/>
      <c r="D117" s="213" t="str">
        <f>IF(C117="","",C117*EF!$P$12)</f>
        <v/>
      </c>
    </row>
    <row r="118" spans="1:4" ht="15">
      <c r="A118" s="207">
        <v>4</v>
      </c>
      <c r="B118" s="902"/>
      <c r="C118" s="947"/>
      <c r="D118" s="213" t="str">
        <f>IF(C118="","",C118*EF!$P$12)</f>
        <v/>
      </c>
    </row>
    <row r="119" spans="1:4" ht="15">
      <c r="A119" s="207">
        <v>5</v>
      </c>
      <c r="B119" s="902"/>
      <c r="C119" s="947"/>
      <c r="D119" s="213" t="str">
        <f>IF(C119="","",C119*EF!$P$12)</f>
        <v/>
      </c>
    </row>
    <row r="120" spans="1:4" ht="15">
      <c r="A120" s="207">
        <v>6</v>
      </c>
      <c r="B120" s="902"/>
      <c r="C120" s="947"/>
      <c r="D120" s="213" t="str">
        <f>IF(C120="","",C120*EF!$P$12)</f>
        <v/>
      </c>
    </row>
    <row r="121" spans="1:4" ht="15">
      <c r="A121" s="207">
        <v>7</v>
      </c>
      <c r="B121" s="902"/>
      <c r="C121" s="947"/>
      <c r="D121" s="213" t="str">
        <f>IF(C121="","",C121*EF!$P$12)</f>
        <v/>
      </c>
    </row>
    <row r="122" spans="1:4" ht="15">
      <c r="A122" s="207">
        <v>8</v>
      </c>
      <c r="B122" s="902"/>
      <c r="C122" s="947"/>
      <c r="D122" s="213" t="str">
        <f>IF(C122="","",C122*EF!$P$12)</f>
        <v/>
      </c>
    </row>
    <row r="123" spans="1:4" ht="15">
      <c r="A123" s="207">
        <v>9</v>
      </c>
      <c r="B123" s="902"/>
      <c r="C123" s="947"/>
      <c r="D123" s="213" t="str">
        <f>IF(C123="","",C123*EF!$P$12)</f>
        <v/>
      </c>
    </row>
    <row r="124" spans="1:4" ht="15">
      <c r="A124" s="207">
        <v>10</v>
      </c>
      <c r="B124" s="902"/>
      <c r="C124" s="947"/>
      <c r="D124" s="213" t="str">
        <f>IF(C124="","",C124*EF!$P$12)</f>
        <v/>
      </c>
    </row>
    <row r="125" spans="1:4" ht="15">
      <c r="A125" s="207">
        <v>11</v>
      </c>
      <c r="B125" s="902"/>
      <c r="C125" s="947"/>
      <c r="D125" s="213" t="str">
        <f>IF(C125="","",C125*EF!$P$12)</f>
        <v/>
      </c>
    </row>
    <row r="126" spans="1:4" ht="15">
      <c r="A126" s="207">
        <v>12</v>
      </c>
      <c r="B126" s="902"/>
      <c r="C126" s="947"/>
      <c r="D126" s="213" t="str">
        <f>IF(C126="","",C126*EF!$P$12)</f>
        <v/>
      </c>
    </row>
    <row r="127" spans="1:4" ht="15">
      <c r="A127" s="207">
        <v>13</v>
      </c>
      <c r="B127" s="902"/>
      <c r="C127" s="947"/>
      <c r="D127" s="213" t="str">
        <f>IF(C127="","",C127*EF!$P$12)</f>
        <v/>
      </c>
    </row>
    <row r="128" spans="1:4" ht="15">
      <c r="A128" s="207">
        <v>14</v>
      </c>
      <c r="B128" s="902"/>
      <c r="C128" s="947"/>
      <c r="D128" s="213" t="str">
        <f>IF(C128="","",C128*EF!$P$12)</f>
        <v/>
      </c>
    </row>
    <row r="129" spans="1:5" ht="15">
      <c r="A129" s="207">
        <v>15</v>
      </c>
      <c r="B129" s="902"/>
      <c r="C129" s="947"/>
      <c r="D129" s="213" t="str">
        <f>IF(C129="","",C129*EF!$P$12)</f>
        <v/>
      </c>
    </row>
    <row r="130" spans="1:5" ht="15">
      <c r="A130" s="207">
        <v>16</v>
      </c>
      <c r="B130" s="902"/>
      <c r="C130" s="947"/>
      <c r="D130" s="213" t="str">
        <f>IF(C130="","",C130*EF!$P$12)</f>
        <v/>
      </c>
    </row>
    <row r="131" spans="1:5" ht="15">
      <c r="A131" s="207">
        <v>17</v>
      </c>
      <c r="B131" s="902"/>
      <c r="C131" s="947"/>
      <c r="D131" s="213" t="str">
        <f>IF(C131="","",C131*EF!$P$12)</f>
        <v/>
      </c>
    </row>
    <row r="132" spans="1:5" ht="15">
      <c r="A132" s="207">
        <v>18</v>
      </c>
      <c r="B132" s="902"/>
      <c r="C132" s="947"/>
      <c r="D132" s="213" t="str">
        <f>IF(C132="","",C132*EF!$P$12)</f>
        <v/>
      </c>
    </row>
    <row r="133" spans="1:5" ht="15">
      <c r="A133" s="207">
        <v>19</v>
      </c>
      <c r="B133" s="902"/>
      <c r="C133" s="947"/>
      <c r="D133" s="213" t="str">
        <f>IF(C133="","",C133*EF!$P$12)</f>
        <v/>
      </c>
    </row>
    <row r="134" spans="1:5" ht="15.75" thickBot="1">
      <c r="A134" s="207">
        <v>20</v>
      </c>
      <c r="B134" s="902"/>
      <c r="C134" s="947"/>
      <c r="D134" s="213" t="str">
        <f>IF(C134="","",C134*EF!$P$12)</f>
        <v/>
      </c>
    </row>
    <row r="135" spans="1:5" ht="15" thickBot="1">
      <c r="C135" s="218" t="s">
        <v>1268</v>
      </c>
      <c r="D135" s="242">
        <f>SUM(D116:D134)</f>
        <v>0</v>
      </c>
    </row>
    <row r="136" spans="1:5" ht="9" customHeight="1" thickBot="1"/>
    <row r="137" spans="1:5" ht="15" thickBot="1">
      <c r="C137" s="256" t="s">
        <v>1268</v>
      </c>
      <c r="D137" s="257"/>
      <c r="E137" s="236" t="s">
        <v>4091</v>
      </c>
    </row>
    <row r="138" spans="1:5" ht="4.5" customHeight="1">
      <c r="C138" s="927"/>
      <c r="D138" s="928"/>
      <c r="E138" s="236"/>
    </row>
    <row r="139" spans="1:5">
      <c r="A139" t="s">
        <v>4309</v>
      </c>
      <c r="C139" s="927"/>
      <c r="D139" s="928"/>
      <c r="E139" s="236"/>
    </row>
    <row r="140" spans="1:5">
      <c r="A140" s="936" t="s">
        <v>4310</v>
      </c>
      <c r="C140" s="927"/>
      <c r="D140" s="928"/>
      <c r="E140" s="236"/>
    </row>
    <row r="141" spans="1:5">
      <c r="A141" s="936" t="s">
        <v>4311</v>
      </c>
      <c r="C141" s="927"/>
      <c r="D141" s="928"/>
      <c r="E141" s="236"/>
    </row>
    <row r="143" spans="1:5" ht="18.75">
      <c r="A143" s="929" t="s">
        <v>4307</v>
      </c>
    </row>
    <row r="144" spans="1:5">
      <c r="A144" s="930" t="s">
        <v>1237</v>
      </c>
    </row>
    <row r="145" spans="1:4" ht="9" customHeight="1">
      <c r="A145" s="204"/>
    </row>
    <row r="146" spans="1:4">
      <c r="B146" s="814" t="s">
        <v>312</v>
      </c>
      <c r="C146" s="814" t="s">
        <v>312</v>
      </c>
    </row>
    <row r="147" spans="1:4" ht="41.25" customHeight="1">
      <c r="A147" s="205" t="s">
        <v>1238</v>
      </c>
      <c r="B147" s="205" t="s">
        <v>319</v>
      </c>
      <c r="C147" s="216" t="s">
        <v>320</v>
      </c>
      <c r="D147" s="205" t="s">
        <v>322</v>
      </c>
    </row>
    <row r="148" spans="1:4" ht="15">
      <c r="A148" s="207">
        <v>1</v>
      </c>
      <c r="B148" s="147" t="s">
        <v>4308</v>
      </c>
      <c r="C148" s="839">
        <v>5000</v>
      </c>
      <c r="D148" s="210">
        <f>IF(C148="","",(C148*EF!$R$28*'Reporting Year &amp; Inflation Adj.'!$F$9/1000))</f>
        <v>36.071643408862514</v>
      </c>
    </row>
    <row r="149" spans="1:4" ht="15">
      <c r="A149" s="207">
        <v>2</v>
      </c>
      <c r="B149" s="902"/>
      <c r="C149" s="840"/>
      <c r="D149" s="213" t="str">
        <f>IF(C149="","",(C149*EF!$R$28*'Reporting Year &amp; Inflation Adj.'!$F$9/1000))</f>
        <v/>
      </c>
    </row>
    <row r="150" spans="1:4" ht="15">
      <c r="A150" s="207">
        <v>3</v>
      </c>
      <c r="B150" s="902"/>
      <c r="C150" s="840"/>
      <c r="D150" s="213" t="str">
        <f>IF(C150="","",(C150*EF!$R$28*'Reporting Year &amp; Inflation Adj.'!$F$9/1000))</f>
        <v/>
      </c>
    </row>
    <row r="151" spans="1:4" ht="15">
      <c r="A151" s="207">
        <v>4</v>
      </c>
      <c r="B151" s="902"/>
      <c r="C151" s="840"/>
      <c r="D151" s="213" t="str">
        <f>IF(C151="","",(C151*EF!$R$28*'Reporting Year &amp; Inflation Adj.'!$F$9/1000))</f>
        <v/>
      </c>
    </row>
    <row r="152" spans="1:4" ht="15">
      <c r="A152" s="207">
        <v>5</v>
      </c>
      <c r="B152" s="902"/>
      <c r="C152" s="840"/>
      <c r="D152" s="213" t="str">
        <f>IF(C152="","",(C152*EF!$R$28*'Reporting Year &amp; Inflation Adj.'!$F$9/1000))</f>
        <v/>
      </c>
    </row>
    <row r="153" spans="1:4" ht="15">
      <c r="A153" s="207">
        <v>6</v>
      </c>
      <c r="B153" s="902"/>
      <c r="C153" s="840"/>
      <c r="D153" s="213" t="str">
        <f>IF(C153="","",(C153*EF!$R$28*'Reporting Year &amp; Inflation Adj.'!$F$9/1000))</f>
        <v/>
      </c>
    </row>
    <row r="154" spans="1:4" ht="15">
      <c r="A154" s="207">
        <v>7</v>
      </c>
      <c r="B154" s="902"/>
      <c r="C154" s="840"/>
      <c r="D154" s="213" t="str">
        <f>IF(C154="","",(C154*EF!$R$28*'Reporting Year &amp; Inflation Adj.'!$F$9/1000))</f>
        <v/>
      </c>
    </row>
    <row r="155" spans="1:4" ht="15">
      <c r="A155" s="207">
        <v>8</v>
      </c>
      <c r="B155" s="902"/>
      <c r="C155" s="840"/>
      <c r="D155" s="213" t="str">
        <f>IF(C155="","",(C155*EF!$R$28*'Reporting Year &amp; Inflation Adj.'!$F$9/1000))</f>
        <v/>
      </c>
    </row>
    <row r="156" spans="1:4" ht="15">
      <c r="A156" s="207">
        <v>9</v>
      </c>
      <c r="B156" s="902"/>
      <c r="C156" s="840"/>
      <c r="D156" s="213" t="str">
        <f>IF(C156="","",(C156*EF!$R$28*'Reporting Year &amp; Inflation Adj.'!$F$9/1000))</f>
        <v/>
      </c>
    </row>
    <row r="157" spans="1:4" ht="15">
      <c r="A157" s="207">
        <v>10</v>
      </c>
      <c r="B157" s="902"/>
      <c r="C157" s="840"/>
      <c r="D157" s="213" t="str">
        <f>IF(C157="","",(C157*EF!$R$28*'Reporting Year &amp; Inflation Adj.'!$F$9/1000))</f>
        <v/>
      </c>
    </row>
    <row r="158" spans="1:4" ht="15">
      <c r="A158" s="207">
        <v>11</v>
      </c>
      <c r="B158" s="902"/>
      <c r="C158" s="840"/>
      <c r="D158" s="213" t="str">
        <f>IF(C158="","",(C158*EF!$R$28*'Reporting Year &amp; Inflation Adj.'!$F$9/1000))</f>
        <v/>
      </c>
    </row>
    <row r="159" spans="1:4" ht="15">
      <c r="A159" s="207">
        <v>12</v>
      </c>
      <c r="B159" s="902"/>
      <c r="C159" s="840"/>
      <c r="D159" s="213" t="str">
        <f>IF(C159="","",(C159*EF!$R$28*'Reporting Year &amp; Inflation Adj.'!$F$9/1000))</f>
        <v/>
      </c>
    </row>
    <row r="160" spans="1:4" ht="15">
      <c r="A160" s="207">
        <v>13</v>
      </c>
      <c r="B160" s="902"/>
      <c r="C160" s="840"/>
      <c r="D160" s="213" t="str">
        <f>IF(C160="","",(C160*EF!$R$28*'Reporting Year &amp; Inflation Adj.'!$F$9/1000))</f>
        <v/>
      </c>
    </row>
    <row r="161" spans="1:5" ht="15">
      <c r="A161" s="207">
        <v>14</v>
      </c>
      <c r="B161" s="902"/>
      <c r="C161" s="840"/>
      <c r="D161" s="213" t="str">
        <f>IF(C161="","",(C161*EF!$R$28*'Reporting Year &amp; Inflation Adj.'!$F$9/1000))</f>
        <v/>
      </c>
    </row>
    <row r="162" spans="1:5" ht="15">
      <c r="A162" s="207">
        <v>15</v>
      </c>
      <c r="B162" s="902"/>
      <c r="C162" s="840"/>
      <c r="D162" s="213" t="str">
        <f>IF(C162="","",(C162*EF!$R$28*'Reporting Year &amp; Inflation Adj.'!$F$9/1000))</f>
        <v/>
      </c>
    </row>
    <row r="163" spans="1:5" ht="15">
      <c r="A163" s="207">
        <v>16</v>
      </c>
      <c r="B163" s="902"/>
      <c r="C163" s="840"/>
      <c r="D163" s="213" t="str">
        <f>IF(C163="","",(C163*EF!$R$28*'Reporting Year &amp; Inflation Adj.'!$F$9/1000))</f>
        <v/>
      </c>
    </row>
    <row r="164" spans="1:5" ht="15">
      <c r="A164" s="207">
        <v>17</v>
      </c>
      <c r="B164" s="902"/>
      <c r="C164" s="840"/>
      <c r="D164" s="213" t="str">
        <f>IF(C164="","",(C164*EF!$R$28*'Reporting Year &amp; Inflation Adj.'!$F$9/1000))</f>
        <v/>
      </c>
    </row>
    <row r="165" spans="1:5" ht="15">
      <c r="A165" s="207">
        <v>18</v>
      </c>
      <c r="B165" s="902"/>
      <c r="C165" s="840"/>
      <c r="D165" s="213" t="str">
        <f>IF(C165="","",(C165*EF!$R$28*'Reporting Year &amp; Inflation Adj.'!$F$9/1000))</f>
        <v/>
      </c>
    </row>
    <row r="166" spans="1:5" ht="15">
      <c r="A166" s="207">
        <v>19</v>
      </c>
      <c r="B166" s="902"/>
      <c r="C166" s="840"/>
      <c r="D166" s="213" t="str">
        <f>IF(C166="","",(C166*EF!$R$28*'Reporting Year &amp; Inflation Adj.'!$F$9/1000))</f>
        <v/>
      </c>
    </row>
    <row r="167" spans="1:5" ht="15.75" thickBot="1">
      <c r="A167" s="207">
        <v>20</v>
      </c>
      <c r="B167" s="902"/>
      <c r="C167" s="840"/>
      <c r="D167" s="213" t="str">
        <f>IF(C167="","",(C167*EF!$R$28*'Reporting Year &amp; Inflation Adj.'!$F$9/1000))</f>
        <v/>
      </c>
    </row>
    <row r="168" spans="1:5" ht="15" thickBot="1">
      <c r="C168" s="218" t="s">
        <v>1268</v>
      </c>
      <c r="D168" s="242">
        <f>SUM(D149:D167)</f>
        <v>0</v>
      </c>
    </row>
    <row r="169" spans="1:5" ht="9" customHeight="1" thickBot="1"/>
    <row r="170" spans="1:5" ht="15" thickBot="1">
      <c r="C170" s="256" t="s">
        <v>1268</v>
      </c>
      <c r="D170" s="257"/>
      <c r="E170" s="236" t="s">
        <v>4091</v>
      </c>
    </row>
    <row r="173" spans="1:5" ht="18.75">
      <c r="A173" s="203" t="s">
        <v>4329</v>
      </c>
    </row>
    <row r="174" spans="1:5">
      <c r="A174" s="204" t="s">
        <v>1237</v>
      </c>
    </row>
    <row r="175" spans="1:5">
      <c r="A175" s="204"/>
    </row>
    <row r="176" spans="1:5">
      <c r="B176" s="814" t="s">
        <v>312</v>
      </c>
      <c r="C176" s="814" t="s">
        <v>312</v>
      </c>
    </row>
    <row r="177" spans="1:4" ht="30">
      <c r="A177" s="205" t="s">
        <v>1238</v>
      </c>
      <c r="B177" s="206" t="s">
        <v>319</v>
      </c>
      <c r="C177" s="216" t="s">
        <v>4193</v>
      </c>
      <c r="D177" s="216" t="s">
        <v>322</v>
      </c>
    </row>
    <row r="178" spans="1:4" ht="15">
      <c r="A178" s="207">
        <v>1</v>
      </c>
      <c r="B178" s="903" t="s">
        <v>4330</v>
      </c>
      <c r="C178" s="253">
        <v>1000</v>
      </c>
      <c r="D178" s="240">
        <f>IF(C178="","",CONVERT(C178,"ton","kg")*EF!$Q$40/1000)</f>
        <v>2249.2375569663996</v>
      </c>
    </row>
    <row r="179" spans="1:4" ht="15">
      <c r="A179" s="207">
        <v>2</v>
      </c>
      <c r="B179" s="904"/>
      <c r="C179" s="159"/>
      <c r="D179" s="217" t="str">
        <f>IF(C179="","",CONVERT(C179,"ton","kg")*EF!$Q$40/1000)</f>
        <v/>
      </c>
    </row>
    <row r="180" spans="1:4" ht="15">
      <c r="A180" s="207">
        <v>3</v>
      </c>
      <c r="B180" s="904"/>
      <c r="C180" s="159"/>
      <c r="D180" s="217" t="str">
        <f>IF(C180="","",CONVERT(C180,"ton","kg")*EF!$Q$40/1000)</f>
        <v/>
      </c>
    </row>
    <row r="181" spans="1:4" ht="15">
      <c r="A181" s="207">
        <v>4</v>
      </c>
      <c r="B181" s="904"/>
      <c r="C181" s="159"/>
      <c r="D181" s="217" t="str">
        <f>IF(C181="","",CONVERT(C181,"ton","kg")*EF!$Q$40/1000)</f>
        <v/>
      </c>
    </row>
    <row r="182" spans="1:4" ht="15">
      <c r="A182" s="207">
        <v>5</v>
      </c>
      <c r="B182" s="904"/>
      <c r="C182" s="159"/>
      <c r="D182" s="217" t="str">
        <f>IF(C182="","",CONVERT(C182,"ton","kg")*EF!$Q$40/1000)</f>
        <v/>
      </c>
    </row>
    <row r="183" spans="1:4" ht="15">
      <c r="A183" s="207">
        <v>6</v>
      </c>
      <c r="B183" s="904"/>
      <c r="C183" s="159"/>
      <c r="D183" s="217" t="str">
        <f>IF(C183="","",CONVERT(C183,"ton","kg")*EF!$Q$40/1000)</f>
        <v/>
      </c>
    </row>
    <row r="184" spans="1:4" ht="15">
      <c r="A184" s="207">
        <v>7</v>
      </c>
      <c r="B184" s="904"/>
      <c r="C184" s="159"/>
      <c r="D184" s="217" t="str">
        <f>IF(C184="","",CONVERT(C184,"ton","kg")*EF!$Q$40/1000)</f>
        <v/>
      </c>
    </row>
    <row r="185" spans="1:4" ht="15">
      <c r="A185" s="207">
        <v>8</v>
      </c>
      <c r="B185" s="904"/>
      <c r="C185" s="159"/>
      <c r="D185" s="217" t="str">
        <f>IF(C185="","",CONVERT(C185,"ton","kg")*EF!$Q$40/1000)</f>
        <v/>
      </c>
    </row>
    <row r="186" spans="1:4" ht="15">
      <c r="A186" s="207">
        <v>9</v>
      </c>
      <c r="B186" s="904"/>
      <c r="C186" s="159"/>
      <c r="D186" s="217" t="str">
        <f>IF(C186="","",CONVERT(C186,"ton","kg")*EF!$Q$40/1000)</f>
        <v/>
      </c>
    </row>
    <row r="187" spans="1:4" ht="15">
      <c r="A187" s="207">
        <v>10</v>
      </c>
      <c r="B187" s="904"/>
      <c r="C187" s="159"/>
      <c r="D187" s="217" t="str">
        <f>IF(C187="","",CONVERT(C187,"ton","kg")*EF!$Q$40/1000)</f>
        <v/>
      </c>
    </row>
    <row r="188" spans="1:4" ht="15">
      <c r="A188" s="207">
        <v>11</v>
      </c>
      <c r="B188" s="904"/>
      <c r="C188" s="159"/>
      <c r="D188" s="217" t="str">
        <f>IF(C188="","",CONVERT(C188,"ton","kg")*EF!$Q$40/1000)</f>
        <v/>
      </c>
    </row>
    <row r="189" spans="1:4" ht="15">
      <c r="A189" s="207">
        <v>12</v>
      </c>
      <c r="B189" s="904"/>
      <c r="C189" s="159"/>
      <c r="D189" s="217" t="str">
        <f>IF(C189="","",CONVERT(C189,"ton","kg")*EF!$Q$40/1000)</f>
        <v/>
      </c>
    </row>
    <row r="190" spans="1:4" ht="15">
      <c r="A190" s="207">
        <v>13</v>
      </c>
      <c r="B190" s="904"/>
      <c r="C190" s="159"/>
      <c r="D190" s="217" t="str">
        <f>IF(C190="","",CONVERT(C190,"ton","kg")*EF!$Q$40/1000)</f>
        <v/>
      </c>
    </row>
    <row r="191" spans="1:4" ht="15">
      <c r="A191" s="207">
        <v>14</v>
      </c>
      <c r="B191" s="904"/>
      <c r="C191" s="159"/>
      <c r="D191" s="217" t="str">
        <f>IF(C191="","",CONVERT(C191,"ton","kg")*EF!$Q$40/1000)</f>
        <v/>
      </c>
    </row>
    <row r="192" spans="1:4" ht="15">
      <c r="A192" s="207">
        <v>15</v>
      </c>
      <c r="B192" s="904"/>
      <c r="C192" s="159"/>
      <c r="D192" s="217" t="str">
        <f>IF(C192="","",CONVERT(C192,"ton","kg")*EF!$Q$40/1000)</f>
        <v/>
      </c>
    </row>
    <row r="193" spans="1:5" ht="15">
      <c r="A193" s="207">
        <v>16</v>
      </c>
      <c r="B193" s="904"/>
      <c r="C193" s="159"/>
      <c r="D193" s="217" t="str">
        <f>IF(C193="","",CONVERT(C193,"ton","kg")*EF!$Q$40/1000)</f>
        <v/>
      </c>
    </row>
    <row r="194" spans="1:5" ht="15">
      <c r="A194" s="207">
        <v>17</v>
      </c>
      <c r="B194" s="904"/>
      <c r="C194" s="159"/>
      <c r="D194" s="217" t="str">
        <f>IF(C194="","",CONVERT(C194,"ton","kg")*EF!$Q$40/1000)</f>
        <v/>
      </c>
    </row>
    <row r="195" spans="1:5" ht="15">
      <c r="A195" s="207">
        <v>18</v>
      </c>
      <c r="B195" s="904"/>
      <c r="C195" s="159"/>
      <c r="D195" s="217" t="str">
        <f>IF(C195="","",CONVERT(C195,"ton","kg")*EF!$Q$40/1000)</f>
        <v/>
      </c>
    </row>
    <row r="196" spans="1:5" ht="15">
      <c r="A196" s="207">
        <v>19</v>
      </c>
      <c r="B196" s="904"/>
      <c r="C196" s="159"/>
      <c r="D196" s="217" t="str">
        <f>IF(C196="","",CONVERT(C196,"ton","kg")*EF!$Q$40/1000)</f>
        <v/>
      </c>
    </row>
    <row r="197" spans="1:5" ht="15.75" thickBot="1">
      <c r="A197" s="207">
        <v>20</v>
      </c>
      <c r="B197" s="904"/>
      <c r="C197" s="159"/>
      <c r="D197" s="217" t="str">
        <f>IF(C197="","",CONVERT(C197,"ton","kg")*EF!$Q$40/1000)</f>
        <v/>
      </c>
    </row>
    <row r="198" spans="1:5" ht="15" thickBot="1">
      <c r="C198" s="218" t="s">
        <v>1268</v>
      </c>
      <c r="D198" s="242">
        <f>SUM(D179:D197)</f>
        <v>0</v>
      </c>
    </row>
    <row r="199" spans="1:5" ht="15" thickBot="1">
      <c r="A199" s="204"/>
    </row>
    <row r="200" spans="1:5" ht="15" thickBot="1">
      <c r="A200" s="204"/>
      <c r="C200" s="256" t="s">
        <v>1268</v>
      </c>
      <c r="D200" s="257"/>
      <c r="E200" s="236" t="s">
        <v>4091</v>
      </c>
    </row>
  </sheetData>
  <sheetProtection algorithmName="SHA-512" hashValue="/YVfI/fEZum8U2yK79BnN0ABnDUFIpbHFaydpBEIyz0GI7y6tUNL8qOh3ddccCVwGlSo44uHTJkzo1ij9+6cog==" saltValue="5R1XDTKVkcpi+6Ki0NywGw==" spinCount="100000" sheet="1" objects="1" scenarios="1"/>
  <mergeCells count="8">
    <mergeCell ref="A12:G12"/>
    <mergeCell ref="A8:G8"/>
    <mergeCell ref="A14:G14"/>
    <mergeCell ref="A5:G5"/>
    <mergeCell ref="A6:G6"/>
    <mergeCell ref="A9:G9"/>
    <mergeCell ref="A10:G10"/>
    <mergeCell ref="A11:G11"/>
  </mergeCells>
  <dataValidations count="2">
    <dataValidation type="list" allowBlank="1" showInputMessage="1" showErrorMessage="1" sqref="D26:D45" xr:uid="{5AAE5ECA-7F11-470B-93D8-A0680D41DC3C}">
      <formula1>INDIRECT(C26)</formula1>
    </dataValidation>
    <dataValidation type="list" allowBlank="1" showInputMessage="1" showErrorMessage="1" sqref="C83:C101" xr:uid="{A007CF35-0B9B-4B1C-B165-4DCB4536BE0C}">
      <formula1>"Autoclave,Incineration"</formula1>
    </dataValidation>
  </dataValidations>
  <pageMargins left="0.7" right="0.7" top="0.75" bottom="0.75" header="0.3" footer="0.3"/>
  <pageSetup orientation="portrait" horizontalDpi="1200" verticalDpi="12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2EAA198-D745-49CE-BBF4-E582457A2156}">
          <x14:formula1>
            <xm:f>EF!$N$6:$N$13</xm:f>
          </x14:formula1>
          <xm:sqref>C26:C45</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3BDF0-5597-425A-932C-B768E79BB1C7}">
  <sheetPr codeName="Sheet25">
    <tabColor theme="3" tint="0.59999389629810485"/>
  </sheetPr>
  <dimension ref="A1:G97"/>
  <sheetViews>
    <sheetView showGridLines="0" zoomScale="85" zoomScaleNormal="85" workbookViewId="0"/>
  </sheetViews>
  <sheetFormatPr defaultRowHeight="14.25"/>
  <cols>
    <col min="1" max="1" width="7" customWidth="1"/>
    <col min="2" max="2" width="25.625" customWidth="1"/>
    <col min="3" max="3" width="44.625" customWidth="1"/>
    <col min="4" max="4" width="20.25" customWidth="1"/>
    <col min="5" max="5" width="22.625" customWidth="1"/>
    <col min="6" max="6" width="26.375" customWidth="1"/>
    <col min="7" max="7" width="150.25" customWidth="1"/>
  </cols>
  <sheetData>
    <row r="1" spans="1:7" ht="20.25">
      <c r="A1" s="74" t="s">
        <v>1357</v>
      </c>
      <c r="B1" s="107"/>
      <c r="C1" s="232"/>
      <c r="D1" s="232"/>
      <c r="E1" s="232"/>
      <c r="F1" s="232"/>
      <c r="G1" s="107"/>
    </row>
    <row r="2" spans="1:7">
      <c r="A2" s="198" t="s">
        <v>304</v>
      </c>
      <c r="B2" s="110"/>
      <c r="C2" s="110"/>
      <c r="D2" s="110"/>
      <c r="E2" s="110"/>
      <c r="F2" s="110"/>
      <c r="G2" s="110"/>
    </row>
    <row r="3" spans="1:7">
      <c r="A3" s="112" t="s">
        <v>1339</v>
      </c>
      <c r="B3" s="110"/>
      <c r="C3" s="110"/>
      <c r="D3" s="110"/>
      <c r="E3" s="110"/>
      <c r="F3" s="110"/>
      <c r="G3" s="110"/>
    </row>
    <row r="4" spans="1:7">
      <c r="A4" s="199" t="s">
        <v>1358</v>
      </c>
      <c r="B4" s="110"/>
      <c r="C4" s="110"/>
      <c r="D4" s="110"/>
      <c r="E4" s="110"/>
      <c r="F4" s="110"/>
      <c r="G4" s="110"/>
    </row>
    <row r="5" spans="1:7">
      <c r="A5" s="199" t="s">
        <v>1359</v>
      </c>
      <c r="B5" s="243"/>
      <c r="C5" s="110"/>
      <c r="D5" s="110"/>
      <c r="E5" s="110"/>
      <c r="F5" s="110"/>
      <c r="G5" s="243"/>
    </row>
    <row r="6" spans="1:7">
      <c r="A6" s="244"/>
      <c r="B6" s="233"/>
    </row>
    <row r="7" spans="1:7">
      <c r="A7" s="244"/>
      <c r="B7" s="233"/>
    </row>
    <row r="8" spans="1:7">
      <c r="A8" s="244"/>
      <c r="B8" s="233"/>
    </row>
    <row r="9" spans="1:7">
      <c r="A9" s="244"/>
      <c r="B9" s="233"/>
    </row>
    <row r="10" spans="1:7">
      <c r="A10" s="244"/>
      <c r="B10" s="233"/>
    </row>
    <row r="11" spans="1:7">
      <c r="A11" s="244"/>
      <c r="B11" s="233"/>
    </row>
    <row r="12" spans="1:7">
      <c r="A12" s="244"/>
      <c r="B12" s="233"/>
    </row>
    <row r="13" spans="1:7">
      <c r="A13" s="244"/>
      <c r="B13" s="233"/>
    </row>
    <row r="14" spans="1:7">
      <c r="A14" s="244"/>
      <c r="B14" s="233"/>
    </row>
    <row r="15" spans="1:7">
      <c r="A15" s="244"/>
      <c r="B15" s="233"/>
    </row>
    <row r="16" spans="1:7">
      <c r="A16" s="244"/>
      <c r="B16" s="233"/>
    </row>
    <row r="17" spans="1:7">
      <c r="A17" s="244"/>
      <c r="B17" s="233"/>
    </row>
    <row r="18" spans="1:7" ht="4.5" customHeight="1">
      <c r="A18" s="244"/>
      <c r="B18" s="233"/>
    </row>
    <row r="19" spans="1:7" ht="23.25">
      <c r="A19" s="72"/>
      <c r="B19" s="222"/>
      <c r="C19" s="223"/>
      <c r="D19" s="223"/>
      <c r="E19" s="49" t="s">
        <v>310</v>
      </c>
      <c r="F19" s="7"/>
    </row>
    <row r="20" spans="1:7" ht="23.25">
      <c r="A20" s="72"/>
      <c r="B20" s="222"/>
      <c r="C20" s="224" t="s">
        <v>312</v>
      </c>
      <c r="D20" s="224" t="s">
        <v>312</v>
      </c>
      <c r="E20" s="54">
        <f>SUM(E22:E25)</f>
        <v>0</v>
      </c>
      <c r="F20" s="225"/>
    </row>
    <row r="21" spans="1:7" ht="54">
      <c r="A21" s="72"/>
      <c r="B21" s="226" t="s">
        <v>318</v>
      </c>
      <c r="C21" s="227" t="s">
        <v>319</v>
      </c>
      <c r="D21" s="228" t="s">
        <v>320</v>
      </c>
      <c r="E21" s="228" t="s">
        <v>322</v>
      </c>
      <c r="F21" s="229" t="s">
        <v>4239</v>
      </c>
      <c r="G21" s="230" t="s">
        <v>325</v>
      </c>
    </row>
    <row r="22" spans="1:7" ht="129">
      <c r="B22" s="870" t="s">
        <v>21</v>
      </c>
      <c r="C22" s="317"/>
      <c r="D22" s="799"/>
      <c r="E22" s="319" t="str">
        <f>IF(D22="","",D22*F22/1000*'Reporting Year &amp; Inflation Adj.'!$F$9)</f>
        <v/>
      </c>
      <c r="F22" s="790">
        <v>0.68448441551500006</v>
      </c>
      <c r="G22" s="231" t="s">
        <v>1340</v>
      </c>
    </row>
    <row r="23" spans="1:7" ht="86.25">
      <c r="B23" s="870" t="s">
        <v>1341</v>
      </c>
      <c r="C23" s="317"/>
      <c r="D23" s="799"/>
      <c r="E23" s="319" t="str">
        <f>IF(D23="","",D23*F23/1000*'Reporting Year &amp; Inflation Adj.'!$F$9)</f>
        <v/>
      </c>
      <c r="F23" s="790">
        <v>0.44575522428999997</v>
      </c>
      <c r="G23" s="231" t="s">
        <v>1342</v>
      </c>
    </row>
    <row r="24" spans="1:7" ht="72">
      <c r="B24" s="870" t="s">
        <v>1343</v>
      </c>
      <c r="C24" s="317"/>
      <c r="D24" s="799"/>
      <c r="E24" s="319" t="str">
        <f>IF(D24="","",D24*F24/1000*'Reporting Year &amp; Inflation Adj.'!$F$9)</f>
        <v/>
      </c>
      <c r="F24" s="790">
        <v>0.57111774109000013</v>
      </c>
      <c r="G24" s="231" t="s">
        <v>1344</v>
      </c>
    </row>
    <row r="25" spans="1:7" ht="100.5">
      <c r="B25" s="870" t="s">
        <v>1363</v>
      </c>
      <c r="C25" s="317"/>
      <c r="D25" s="799"/>
      <c r="E25" s="319" t="str">
        <f>IF(D25="","",D25*F25/1000*'Reporting Year &amp; Inflation Adj.'!$F$9)</f>
        <v/>
      </c>
      <c r="F25" s="790">
        <v>0.49246690325000009</v>
      </c>
      <c r="G25" s="231" t="s">
        <v>4109</v>
      </c>
    </row>
    <row r="26" spans="1:7">
      <c r="B26" s="13"/>
      <c r="F26" s="246"/>
    </row>
    <row r="97" spans="2:6">
      <c r="B97" s="13"/>
      <c r="F97" s="246"/>
    </row>
  </sheetData>
  <sheetProtection algorithmName="SHA-512" hashValue="630dVEGASWwDAlyUq+6nvbUXUpm9yK6hK5a9lUgK0sp2YicTlinZWSXJC/niAY03yfYz/UcIrEcDzJ075mhHOQ==" saltValue="AYtjWsLS/D7eRa45daAfiw==" spinCount="100000" sheet="1" objects="1" scenarios="1"/>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2C895-6340-489D-9B24-39E345974F87}">
  <sheetPr codeName="Sheet27">
    <tabColor theme="3" tint="0.59999389629810485"/>
  </sheetPr>
  <dimension ref="A1:M114"/>
  <sheetViews>
    <sheetView showGridLines="0" zoomScale="85" zoomScaleNormal="85" workbookViewId="0"/>
  </sheetViews>
  <sheetFormatPr defaultColWidth="8.875" defaultRowHeight="14.25"/>
  <cols>
    <col min="1" max="1" width="7" customWidth="1"/>
    <col min="2" max="2" width="44.625" customWidth="1"/>
    <col min="3" max="3" width="24" customWidth="1"/>
    <col min="4" max="4" width="22.125" customWidth="1"/>
    <col min="5" max="5" width="25.875" customWidth="1"/>
    <col min="6" max="6" width="23.625" customWidth="1"/>
    <col min="7" max="7" width="18.75" customWidth="1"/>
    <col min="8" max="8" width="21.625" customWidth="1"/>
    <col min="9" max="9" width="17.125" customWidth="1"/>
    <col min="10" max="10" width="22.25" customWidth="1"/>
    <col min="11" max="11" width="14.125" customWidth="1"/>
    <col min="12" max="12" width="11" customWidth="1"/>
    <col min="13" max="13" width="39.875" customWidth="1"/>
  </cols>
  <sheetData>
    <row r="1" spans="1:8" ht="20.25">
      <c r="A1" s="74" t="s">
        <v>1365</v>
      </c>
      <c r="B1" s="232"/>
      <c r="C1" s="232"/>
      <c r="D1" s="232"/>
      <c r="E1" s="232"/>
      <c r="F1" s="107"/>
      <c r="G1" s="107"/>
      <c r="H1" s="107"/>
    </row>
    <row r="2" spans="1:8">
      <c r="A2" s="198" t="s">
        <v>304</v>
      </c>
      <c r="B2" s="110"/>
      <c r="C2" s="110"/>
      <c r="D2" s="110"/>
      <c r="E2" s="110"/>
      <c r="F2" s="110"/>
      <c r="G2" s="110"/>
      <c r="H2" s="110"/>
    </row>
    <row r="3" spans="1:8">
      <c r="A3" s="112" t="s">
        <v>1366</v>
      </c>
      <c r="B3" s="110"/>
      <c r="C3" s="110"/>
      <c r="D3" s="110"/>
      <c r="E3" s="110"/>
      <c r="F3" s="110"/>
      <c r="G3" s="110"/>
      <c r="H3" s="110"/>
    </row>
    <row r="4" spans="1:8" ht="18.75" customHeight="1">
      <c r="A4" s="112" t="s">
        <v>1367</v>
      </c>
      <c r="B4" s="110"/>
      <c r="C4" s="110"/>
      <c r="D4" s="110"/>
      <c r="E4" s="110"/>
      <c r="F4" s="110"/>
      <c r="G4" s="110"/>
      <c r="H4" s="110"/>
    </row>
    <row r="5" spans="1:8">
      <c r="A5" s="199" t="s">
        <v>1368</v>
      </c>
      <c r="B5" s="110"/>
      <c r="C5" s="110"/>
      <c r="D5" s="110"/>
      <c r="E5" s="110"/>
      <c r="F5" s="110"/>
      <c r="G5" s="110"/>
      <c r="H5" s="110"/>
    </row>
    <row r="6" spans="1:8">
      <c r="A6" s="247" t="s">
        <v>72</v>
      </c>
      <c r="B6" s="110"/>
      <c r="C6" s="110"/>
      <c r="D6" s="110"/>
      <c r="E6" s="110"/>
      <c r="F6" s="110"/>
      <c r="G6" s="110"/>
      <c r="H6" s="110"/>
    </row>
    <row r="7" spans="1:8">
      <c r="A7" s="199" t="s">
        <v>1369</v>
      </c>
      <c r="B7" s="110"/>
      <c r="C7" s="110"/>
      <c r="D7" s="110"/>
      <c r="E7" s="110"/>
      <c r="F7" s="110"/>
      <c r="G7" s="110"/>
      <c r="H7" s="110"/>
    </row>
    <row r="8" spans="1:8">
      <c r="A8" s="199" t="s">
        <v>1370</v>
      </c>
      <c r="B8" s="110"/>
      <c r="C8" s="110"/>
      <c r="D8" s="110"/>
      <c r="E8" s="110"/>
      <c r="F8" s="243"/>
      <c r="G8" s="243"/>
      <c r="H8" s="243"/>
    </row>
    <row r="9" spans="1:8">
      <c r="A9" s="199" t="s">
        <v>1371</v>
      </c>
      <c r="B9" s="110"/>
      <c r="C9" s="110"/>
      <c r="D9" s="110"/>
      <c r="E9" s="110"/>
      <c r="F9" s="243"/>
      <c r="G9" s="243"/>
      <c r="H9" s="243"/>
    </row>
    <row r="10" spans="1:8">
      <c r="A10" s="247" t="s">
        <v>1372</v>
      </c>
      <c r="B10" s="110"/>
      <c r="C10" s="110"/>
      <c r="D10" s="110"/>
      <c r="E10" s="110"/>
      <c r="F10" s="243"/>
      <c r="G10" s="243"/>
      <c r="H10" s="243"/>
    </row>
    <row r="11" spans="1:8">
      <c r="A11" s="248" t="s">
        <v>1373</v>
      </c>
      <c r="B11" s="110"/>
      <c r="C11" s="110"/>
      <c r="D11" s="110"/>
      <c r="E11" s="110"/>
      <c r="F11" s="243"/>
      <c r="G11" s="243"/>
      <c r="H11" s="243"/>
    </row>
    <row r="12" spans="1:8">
      <c r="A12" s="248" t="s">
        <v>1374</v>
      </c>
      <c r="B12" s="110"/>
      <c r="C12" s="110"/>
      <c r="D12" s="110"/>
      <c r="E12" s="110"/>
      <c r="F12" s="243"/>
      <c r="G12" s="243"/>
      <c r="H12" s="243"/>
    </row>
    <row r="13" spans="1:8">
      <c r="A13" s="199" t="s">
        <v>1375</v>
      </c>
      <c r="B13" s="110"/>
      <c r="C13" s="110"/>
      <c r="D13" s="110"/>
      <c r="E13" s="110"/>
      <c r="F13" s="243"/>
      <c r="G13" s="243"/>
      <c r="H13" s="243"/>
    </row>
    <row r="14" spans="1:8">
      <c r="A14" s="199" t="s">
        <v>1376</v>
      </c>
      <c r="B14" s="110"/>
      <c r="C14" s="110"/>
      <c r="D14" s="110"/>
      <c r="E14" s="110"/>
      <c r="F14" s="243"/>
      <c r="G14" s="243"/>
      <c r="H14" s="243"/>
    </row>
    <row r="15" spans="1:8">
      <c r="A15" s="247" t="s">
        <v>1377</v>
      </c>
      <c r="B15" s="110"/>
      <c r="C15" s="110"/>
      <c r="D15" s="110"/>
      <c r="E15" s="110"/>
      <c r="F15" s="243"/>
      <c r="G15" s="243"/>
      <c r="H15" s="243"/>
    </row>
    <row r="16" spans="1:8">
      <c r="A16" s="199" t="s">
        <v>1378</v>
      </c>
      <c r="B16" s="110"/>
      <c r="C16" s="110"/>
      <c r="D16" s="110"/>
      <c r="E16" s="110"/>
      <c r="F16" s="243"/>
      <c r="G16" s="243"/>
      <c r="H16" s="243"/>
    </row>
    <row r="17" spans="1:8">
      <c r="A17" s="248" t="s">
        <v>1379</v>
      </c>
      <c r="B17" s="110"/>
      <c r="C17" s="110"/>
      <c r="D17" s="110"/>
      <c r="E17" s="110"/>
      <c r="F17" s="243"/>
      <c r="G17" s="243"/>
      <c r="H17" s="243"/>
    </row>
    <row r="18" spans="1:8">
      <c r="A18" s="247"/>
      <c r="B18" s="110"/>
      <c r="C18" s="110"/>
      <c r="D18" s="110"/>
      <c r="E18" s="110"/>
      <c r="F18" s="243"/>
      <c r="G18" s="243"/>
      <c r="H18" s="243"/>
    </row>
    <row r="19" spans="1:8">
      <c r="A19" s="244"/>
      <c r="F19" s="233"/>
    </row>
    <row r="20" spans="1:8">
      <c r="A20" s="244"/>
      <c r="F20" s="233"/>
    </row>
    <row r="21" spans="1:8">
      <c r="A21" s="244"/>
      <c r="F21" s="233"/>
    </row>
    <row r="22" spans="1:8">
      <c r="A22" s="244"/>
      <c r="F22" s="233"/>
    </row>
    <row r="23" spans="1:8">
      <c r="A23" s="244"/>
      <c r="F23" s="233"/>
    </row>
    <row r="24" spans="1:8">
      <c r="A24" s="244"/>
      <c r="F24" s="233"/>
    </row>
    <row r="25" spans="1:8">
      <c r="A25" s="244"/>
      <c r="F25" s="233"/>
    </row>
    <row r="26" spans="1:8">
      <c r="A26" s="244"/>
      <c r="F26" s="233"/>
    </row>
    <row r="27" spans="1:8">
      <c r="A27" s="244"/>
      <c r="F27" s="233"/>
    </row>
    <row r="28" spans="1:8">
      <c r="A28" s="244"/>
      <c r="F28" s="233"/>
    </row>
    <row r="29" spans="1:8">
      <c r="A29" s="244"/>
      <c r="F29" s="233"/>
    </row>
    <row r="30" spans="1:8">
      <c r="A30" s="244"/>
      <c r="F30" s="233"/>
    </row>
    <row r="31" spans="1:8">
      <c r="A31" s="244"/>
      <c r="F31" s="233"/>
    </row>
    <row r="32" spans="1:8">
      <c r="A32" s="244"/>
      <c r="F32" s="233"/>
    </row>
    <row r="33" spans="1:11">
      <c r="A33" s="244"/>
      <c r="D33" s="1565" t="s">
        <v>4206</v>
      </c>
      <c r="F33" s="233"/>
    </row>
    <row r="34" spans="1:11" ht="18.75">
      <c r="A34" s="203" t="s">
        <v>1380</v>
      </c>
      <c r="D34" s="1565"/>
      <c r="E34" s="246"/>
      <c r="F34" s="13"/>
    </row>
    <row r="35" spans="1:11" ht="9" customHeight="1">
      <c r="A35" s="203"/>
      <c r="D35" s="807"/>
      <c r="E35" s="246"/>
      <c r="F35" s="13"/>
    </row>
    <row r="36" spans="1:11" ht="15.75">
      <c r="A36" s="245"/>
      <c r="B36" s="224" t="s">
        <v>312</v>
      </c>
      <c r="C36" s="224" t="s">
        <v>312</v>
      </c>
      <c r="D36" s="224" t="s">
        <v>312</v>
      </c>
      <c r="E36" s="224" t="s">
        <v>312</v>
      </c>
      <c r="F36" s="13"/>
    </row>
    <row r="37" spans="1:11" ht="46.5" customHeight="1">
      <c r="A37" s="205" t="s">
        <v>1238</v>
      </c>
      <c r="B37" s="206" t="s">
        <v>319</v>
      </c>
      <c r="C37" s="216" t="s">
        <v>4337</v>
      </c>
      <c r="D37" s="216" t="s">
        <v>4338</v>
      </c>
      <c r="E37" s="205" t="s">
        <v>1283</v>
      </c>
      <c r="F37" s="216" t="s">
        <v>1381</v>
      </c>
      <c r="G37" s="205" t="s">
        <v>322</v>
      </c>
    </row>
    <row r="38" spans="1:11" ht="19.5" customHeight="1">
      <c r="A38" s="207">
        <v>1</v>
      </c>
      <c r="B38" s="147" t="s">
        <v>1242</v>
      </c>
      <c r="C38" s="147" t="s">
        <v>39</v>
      </c>
      <c r="D38" s="147" t="s">
        <v>299</v>
      </c>
      <c r="E38" s="924">
        <v>50000</v>
      </c>
      <c r="F38" s="925">
        <f>IF(E38="","",IFERROR(VLOOKUP(_xlfn.CONCAT(C38,D38),'DESNZ Cat 6-9'!$B$5:$M$13,11,FALSE)+VLOOKUP(_xlfn.CONCAT(C38,D38),'DESNZ Cat 6-9'!$B$5:$M$13,12,FALSE),"")+N("WtT + TtW DESNZ factors"))</f>
        <v>0.15074841644204851</v>
      </c>
      <c r="G38" s="171">
        <f>IFERROR(F38*E38*'Reporting Year &amp; Inflation Adj.'!$F$9/1000,"")</f>
        <v>7.3112981974393527</v>
      </c>
      <c r="I38" s="1561" t="s">
        <v>1382</v>
      </c>
      <c r="J38" s="1561"/>
    </row>
    <row r="39" spans="1:11" ht="15" customHeight="1">
      <c r="A39" s="207">
        <v>2</v>
      </c>
      <c r="B39" s="150"/>
      <c r="C39" s="150"/>
      <c r="D39" s="150"/>
      <c r="E39" s="159"/>
      <c r="F39" s="925" t="str">
        <f>IF(E39="","",IFERROR(VLOOKUP(_xlfn.CONCAT(C39,D39),'DESNZ Cat 6-9'!$B$5:$M$13,11,FALSE)+VLOOKUP(_xlfn.CONCAT(C39,D39),'DESNZ Cat 6-9'!$B$5:$M$13,12,FALSE),"")+N("WtT + TtW DESNZ factors"))</f>
        <v/>
      </c>
      <c r="G39" s="172" t="str">
        <f>IFERROR(F39*E39*'Reporting Year &amp; Inflation Adj.'!$F$9/1000,"")</f>
        <v/>
      </c>
      <c r="I39" s="1566" t="s">
        <v>4021</v>
      </c>
      <c r="J39" s="1566"/>
      <c r="K39" s="373"/>
    </row>
    <row r="40" spans="1:11" ht="15">
      <c r="A40" s="207">
        <v>3</v>
      </c>
      <c r="B40" s="150"/>
      <c r="C40" s="150"/>
      <c r="D40" s="150"/>
      <c r="E40" s="159"/>
      <c r="F40" s="925" t="str">
        <f>IF(E40="","",IFERROR(VLOOKUP(_xlfn.CONCAT(C40,D40),'DESNZ Cat 6-9'!$B$5:$M$13,11,FALSE)+VLOOKUP(_xlfn.CONCAT(C40,D40),'DESNZ Cat 6-9'!$B$5:$M$13,12,FALSE),"")+N("WtT + TtW DESNZ factors"))</f>
        <v/>
      </c>
      <c r="G40" s="172" t="str">
        <f>IFERROR(F40*E40*'Reporting Year &amp; Inflation Adj.'!$F$9/1000,"")</f>
        <v/>
      </c>
      <c r="I40" s="1566" t="s">
        <v>4020</v>
      </c>
      <c r="J40" s="1566"/>
      <c r="K40" s="373"/>
    </row>
    <row r="41" spans="1:11" ht="15">
      <c r="A41" s="207">
        <v>4</v>
      </c>
      <c r="B41" s="150"/>
      <c r="C41" s="150"/>
      <c r="D41" s="150"/>
      <c r="E41" s="159"/>
      <c r="F41" s="925" t="str">
        <f>IF(E41="","",IFERROR(VLOOKUP(_xlfn.CONCAT(C41,D41),'DESNZ Cat 6-9'!$B$5:$M$13,11,FALSE)+VLOOKUP(_xlfn.CONCAT(C41,D41),'DESNZ Cat 6-9'!$B$5:$M$13,12,FALSE),"")+N("WtT + TtW DESNZ factors"))</f>
        <v/>
      </c>
      <c r="G41" s="172" t="str">
        <f>IFERROR(F41*E41*'Reporting Year &amp; Inflation Adj.'!$F$9/1000,"")</f>
        <v/>
      </c>
      <c r="I41" s="1566" t="s">
        <v>4022</v>
      </c>
      <c r="J41" s="1566"/>
      <c r="K41" s="373"/>
    </row>
    <row r="42" spans="1:11" ht="15">
      <c r="A42" s="207">
        <v>5</v>
      </c>
      <c r="B42" s="150"/>
      <c r="C42" s="150"/>
      <c r="D42" s="150"/>
      <c r="E42" s="159"/>
      <c r="F42" s="925" t="str">
        <f>IF(E42="","",IFERROR(VLOOKUP(_xlfn.CONCAT(C42,D42),'DESNZ Cat 6-9'!$B$5:$M$13,11,FALSE)+VLOOKUP(_xlfn.CONCAT(C42,D42),'DESNZ Cat 6-9'!$B$5:$M$13,12,FALSE),"")+N("WtT + TtW DESNZ factors"))</f>
        <v/>
      </c>
      <c r="G42" s="172" t="str">
        <f>IFERROR(F42*E42*'Reporting Year &amp; Inflation Adj.'!$F$9/1000,"")</f>
        <v/>
      </c>
      <c r="I42" s="373"/>
      <c r="J42" s="373"/>
      <c r="K42" s="373"/>
    </row>
    <row r="43" spans="1:11" ht="15">
      <c r="A43" s="207">
        <v>6</v>
      </c>
      <c r="B43" s="150"/>
      <c r="C43" s="150"/>
      <c r="D43" s="150"/>
      <c r="E43" s="159"/>
      <c r="F43" s="925" t="str">
        <f>IF(E43="","",IFERROR(VLOOKUP(_xlfn.CONCAT(C43,D43),'DESNZ Cat 6-9'!$B$5:$M$13,11,FALSE)+VLOOKUP(_xlfn.CONCAT(C43,D43),'DESNZ Cat 6-9'!$B$5:$M$13,12,FALSE),"")+N("WtT + TtW DESNZ factors"))</f>
        <v/>
      </c>
      <c r="G43" s="172" t="str">
        <f>IFERROR(F43*E43*'Reporting Year &amp; Inflation Adj.'!$F$9/1000,"")</f>
        <v/>
      </c>
      <c r="I43" s="373"/>
      <c r="J43" s="373"/>
      <c r="K43" s="373"/>
    </row>
    <row r="44" spans="1:11" ht="15">
      <c r="A44" s="207">
        <v>7</v>
      </c>
      <c r="B44" s="150"/>
      <c r="C44" s="150"/>
      <c r="D44" s="150"/>
      <c r="E44" s="159"/>
      <c r="F44" s="925" t="str">
        <f>IF(E44="","",IFERROR(VLOOKUP(_xlfn.CONCAT(C44,D44),'DESNZ Cat 6-9'!$B$5:$M$13,11,FALSE)+VLOOKUP(_xlfn.CONCAT(C44,D44),'DESNZ Cat 6-9'!$B$5:$M$13,12,FALSE),"")+N("WtT + TtW DESNZ factors"))</f>
        <v/>
      </c>
      <c r="G44" s="172" t="str">
        <f>IFERROR(F44*E44*'Reporting Year &amp; Inflation Adj.'!$F$9/1000,"")</f>
        <v/>
      </c>
    </row>
    <row r="45" spans="1:11" ht="15">
      <c r="A45" s="207">
        <v>8</v>
      </c>
      <c r="B45" s="150"/>
      <c r="C45" s="150"/>
      <c r="D45" s="150"/>
      <c r="E45" s="159"/>
      <c r="F45" s="925" t="str">
        <f>IF(E45="","",IFERROR(VLOOKUP(_xlfn.CONCAT(C45,D45),'DESNZ Cat 6-9'!$B$5:$M$13,11,FALSE)+VLOOKUP(_xlfn.CONCAT(C45,D45),'DESNZ Cat 6-9'!$B$5:$M$13,12,FALSE),"")+N("WtT + TtW DESNZ factors"))</f>
        <v/>
      </c>
      <c r="G45" s="172" t="str">
        <f>IFERROR(F45*E45*'Reporting Year &amp; Inflation Adj.'!$F$9/1000,"")</f>
        <v/>
      </c>
    </row>
    <row r="46" spans="1:11" ht="15">
      <c r="A46" s="207">
        <v>9</v>
      </c>
      <c r="B46" s="150"/>
      <c r="C46" s="150"/>
      <c r="D46" s="150"/>
      <c r="E46" s="159"/>
      <c r="F46" s="925" t="str">
        <f>IF(E46="","",IFERROR(VLOOKUP(_xlfn.CONCAT(C46,D46),'DESNZ Cat 6-9'!$B$5:$M$13,11,FALSE)+VLOOKUP(_xlfn.CONCAT(C46,D46),'DESNZ Cat 6-9'!$B$5:$M$13,12,FALSE),"")+N("WtT + TtW DESNZ factors"))</f>
        <v/>
      </c>
      <c r="G46" s="172" t="str">
        <f>IFERROR(F46*E46*'Reporting Year &amp; Inflation Adj.'!$F$9/1000,"")</f>
        <v/>
      </c>
    </row>
    <row r="47" spans="1:11" ht="15">
      <c r="A47" s="207">
        <v>10</v>
      </c>
      <c r="B47" s="150"/>
      <c r="C47" s="150"/>
      <c r="D47" s="150"/>
      <c r="E47" s="159"/>
      <c r="F47" s="925" t="str">
        <f>IF(E47="","",IFERROR(VLOOKUP(_xlfn.CONCAT(C47,D47),'DESNZ Cat 6-9'!$B$5:$M$13,11,FALSE)+VLOOKUP(_xlfn.CONCAT(C47,D47),'DESNZ Cat 6-9'!$B$5:$M$13,12,FALSE),"")+N("WtT + TtW DESNZ factors"))</f>
        <v/>
      </c>
      <c r="G47" s="172" t="str">
        <f>IFERROR(F47*E47*'Reporting Year &amp; Inflation Adj.'!$F$9/1000,"")</f>
        <v/>
      </c>
    </row>
    <row r="48" spans="1:11" ht="15">
      <c r="A48" s="207">
        <v>11</v>
      </c>
      <c r="B48" s="150"/>
      <c r="C48" s="150"/>
      <c r="D48" s="150"/>
      <c r="E48" s="159"/>
      <c r="F48" s="925" t="str">
        <f>IF(E48="","",IFERROR(VLOOKUP(_xlfn.CONCAT(C48,D48),'DESNZ Cat 6-9'!$B$5:$M$13,11,FALSE)+VLOOKUP(_xlfn.CONCAT(C48,D48),'DESNZ Cat 6-9'!$B$5:$M$13,12,FALSE),"")+N("WtT + TtW DESNZ factors"))</f>
        <v/>
      </c>
      <c r="G48" s="172" t="str">
        <f>IFERROR(F48*E48*'Reporting Year &amp; Inflation Adj.'!$F$9/1000,"")</f>
        <v/>
      </c>
    </row>
    <row r="49" spans="1:7" ht="15">
      <c r="A49" s="207">
        <v>12</v>
      </c>
      <c r="B49" s="150"/>
      <c r="C49" s="150"/>
      <c r="D49" s="150"/>
      <c r="E49" s="159"/>
      <c r="F49" s="925" t="str">
        <f>IF(E49="","",IFERROR(VLOOKUP(_xlfn.CONCAT(C49,D49),'DESNZ Cat 6-9'!$B$5:$M$13,11,FALSE)+VLOOKUP(_xlfn.CONCAT(C49,D49),'DESNZ Cat 6-9'!$B$5:$M$13,12,FALSE),"")+N("WtT + TtW DESNZ factors"))</f>
        <v/>
      </c>
      <c r="G49" s="172" t="str">
        <f>IFERROR(F49*E49*'Reporting Year &amp; Inflation Adj.'!$F$9/1000,"")</f>
        <v/>
      </c>
    </row>
    <row r="50" spans="1:7" ht="15">
      <c r="A50" s="207">
        <v>13</v>
      </c>
      <c r="B50" s="150"/>
      <c r="C50" s="150"/>
      <c r="D50" s="150"/>
      <c r="E50" s="159"/>
      <c r="F50" s="925" t="str">
        <f>IF(E50="","",IFERROR(VLOOKUP(_xlfn.CONCAT(C50,D50),'DESNZ Cat 6-9'!$B$5:$M$13,11,FALSE)+VLOOKUP(_xlfn.CONCAT(C50,D50),'DESNZ Cat 6-9'!$B$5:$M$13,12,FALSE),"")+N("WtT + TtW DESNZ factors"))</f>
        <v/>
      </c>
      <c r="G50" s="172" t="str">
        <f>IFERROR(F50*E50*'Reporting Year &amp; Inflation Adj.'!$F$9/1000,"")</f>
        <v/>
      </c>
    </row>
    <row r="51" spans="1:7" ht="15">
      <c r="A51" s="207">
        <v>14</v>
      </c>
      <c r="B51" s="150"/>
      <c r="C51" s="150"/>
      <c r="D51" s="150"/>
      <c r="E51" s="159"/>
      <c r="F51" s="925" t="str">
        <f>IF(E51="","",IFERROR(VLOOKUP(_xlfn.CONCAT(C51,D51),'DESNZ Cat 6-9'!$B$5:$M$13,11,FALSE)+VLOOKUP(_xlfn.CONCAT(C51,D51),'DESNZ Cat 6-9'!$B$5:$M$13,12,FALSE),"")+N("WtT + TtW DESNZ factors"))</f>
        <v/>
      </c>
      <c r="G51" s="172" t="str">
        <f>IFERROR(F51*E51*'Reporting Year &amp; Inflation Adj.'!$F$9/1000,"")</f>
        <v/>
      </c>
    </row>
    <row r="52" spans="1:7" ht="15">
      <c r="A52" s="207">
        <v>15</v>
      </c>
      <c r="B52" s="150"/>
      <c r="C52" s="150"/>
      <c r="D52" s="150"/>
      <c r="E52" s="159"/>
      <c r="F52" s="925" t="str">
        <f>IF(E52="","",IFERROR(VLOOKUP(_xlfn.CONCAT(C52,D52),'DESNZ Cat 6-9'!$B$5:$M$13,11,FALSE)+VLOOKUP(_xlfn.CONCAT(C52,D52),'DESNZ Cat 6-9'!$B$5:$M$13,12,FALSE),"")+N("WtT + TtW DESNZ factors"))</f>
        <v/>
      </c>
      <c r="G52" s="172" t="str">
        <f>IFERROR(F52*E52*'Reporting Year &amp; Inflation Adj.'!$F$9/1000,"")</f>
        <v/>
      </c>
    </row>
    <row r="53" spans="1:7" ht="15">
      <c r="A53" s="207">
        <v>16</v>
      </c>
      <c r="B53" s="150"/>
      <c r="C53" s="150"/>
      <c r="D53" s="150"/>
      <c r="E53" s="159"/>
      <c r="F53" s="925" t="str">
        <f>IF(E53="","",IFERROR(VLOOKUP(_xlfn.CONCAT(C53,D53),'DESNZ Cat 6-9'!$B$5:$M$13,11,FALSE)+VLOOKUP(_xlfn.CONCAT(C53,D53),'DESNZ Cat 6-9'!$B$5:$M$13,12,FALSE),"")+N("WtT + TtW DESNZ factors"))</f>
        <v/>
      </c>
      <c r="G53" s="172" t="str">
        <f>IFERROR(F53*E53*'Reporting Year &amp; Inflation Adj.'!$F$9/1000,"")</f>
        <v/>
      </c>
    </row>
    <row r="54" spans="1:7" ht="15">
      <c r="A54" s="207">
        <v>17</v>
      </c>
      <c r="B54" s="150"/>
      <c r="C54" s="150"/>
      <c r="D54" s="150"/>
      <c r="E54" s="159"/>
      <c r="F54" s="925" t="str">
        <f>IF(E54="","",IFERROR(VLOOKUP(_xlfn.CONCAT(C54,D54),'DESNZ Cat 6-9'!$B$5:$M$13,11,FALSE)+VLOOKUP(_xlfn.CONCAT(C54,D54),'DESNZ Cat 6-9'!$B$5:$M$13,12,FALSE),"")+N("WtT + TtW DESNZ factors"))</f>
        <v/>
      </c>
      <c r="G54" s="172" t="str">
        <f>IFERROR(F54*E54*'Reporting Year &amp; Inflation Adj.'!$F$9/1000,"")</f>
        <v/>
      </c>
    </row>
    <row r="55" spans="1:7" ht="15">
      <c r="A55" s="207">
        <v>18</v>
      </c>
      <c r="B55" s="150"/>
      <c r="C55" s="150"/>
      <c r="D55" s="150"/>
      <c r="E55" s="159"/>
      <c r="F55" s="925" t="str">
        <f>IF(E55="","",IFERROR(VLOOKUP(_xlfn.CONCAT(C55,D55),'DESNZ Cat 6-9'!$B$5:$M$13,11,FALSE)+VLOOKUP(_xlfn.CONCAT(C55,D55),'DESNZ Cat 6-9'!$B$5:$M$13,12,FALSE),"")+N("WtT + TtW DESNZ factors"))</f>
        <v/>
      </c>
      <c r="G55" s="172" t="str">
        <f>IFERROR(F55*E55*'Reporting Year &amp; Inflation Adj.'!$F$9/1000,"")</f>
        <v/>
      </c>
    </row>
    <row r="56" spans="1:7" ht="15">
      <c r="A56" s="207">
        <v>19</v>
      </c>
      <c r="B56" s="150"/>
      <c r="C56" s="150"/>
      <c r="D56" s="150"/>
      <c r="E56" s="159"/>
      <c r="F56" s="925" t="str">
        <f>IF(E56="","",IFERROR(VLOOKUP(_xlfn.CONCAT(C56,D56),'DESNZ Cat 6-9'!$B$5:$M$13,11,FALSE)+VLOOKUP(_xlfn.CONCAT(C56,D56),'DESNZ Cat 6-9'!$B$5:$M$13,12,FALSE),"")+N("WtT + TtW DESNZ factors"))</f>
        <v/>
      </c>
      <c r="G56" s="172" t="str">
        <f>IFERROR(F56*E56*'Reporting Year &amp; Inflation Adj.'!$F$9/1000,"")</f>
        <v/>
      </c>
    </row>
    <row r="57" spans="1:7" ht="15.75" thickBot="1">
      <c r="A57" s="207">
        <v>20</v>
      </c>
      <c r="B57" s="150"/>
      <c r="C57" s="150"/>
      <c r="D57" s="150"/>
      <c r="E57" s="159"/>
      <c r="F57" s="925" t="str">
        <f>IF(E57="","",IFERROR(VLOOKUP(_xlfn.CONCAT(C57,D57),'DESNZ Cat 6-9'!$B$5:$M$13,11,FALSE)+VLOOKUP(_xlfn.CONCAT(C57,D57),'DESNZ Cat 6-9'!$B$5:$M$13,12,FALSE),"")+N("WtT + TtW DESNZ factors"))</f>
        <v/>
      </c>
      <c r="G57" s="172" t="str">
        <f>IFERROR(F57*E57*'Reporting Year &amp; Inflation Adj.'!$F$9/1000,"")</f>
        <v/>
      </c>
    </row>
    <row r="58" spans="1:7" ht="15" thickBot="1">
      <c r="F58" s="218" t="s">
        <v>1268</v>
      </c>
      <c r="G58" s="179">
        <f>SUM(G39:G57)</f>
        <v>0</v>
      </c>
    </row>
    <row r="59" spans="1:7">
      <c r="F59" s="246"/>
      <c r="G59" s="13"/>
    </row>
    <row r="60" spans="1:7" ht="18.75">
      <c r="A60" s="203" t="s">
        <v>1383</v>
      </c>
      <c r="E60" s="246"/>
      <c r="F60" s="13"/>
    </row>
    <row r="61" spans="1:7">
      <c r="A61" s="204" t="s">
        <v>1237</v>
      </c>
      <c r="E61" s="246"/>
      <c r="F61" s="13"/>
      <c r="G61" s="75"/>
    </row>
    <row r="62" spans="1:7">
      <c r="A62" s="236" t="s">
        <v>4205</v>
      </c>
      <c r="E62" s="246"/>
      <c r="F62" s="13"/>
    </row>
    <row r="63" spans="1:7" ht="9" customHeight="1">
      <c r="A63" s="236"/>
      <c r="E63" s="246"/>
      <c r="F63" s="13"/>
    </row>
    <row r="64" spans="1:7" ht="15.75">
      <c r="A64" s="245"/>
      <c r="B64" s="224" t="s">
        <v>312</v>
      </c>
      <c r="C64" s="224" t="s">
        <v>312</v>
      </c>
      <c r="D64" s="224" t="s">
        <v>312</v>
      </c>
      <c r="E64" s="224" t="s">
        <v>312</v>
      </c>
      <c r="F64" s="224" t="s">
        <v>312</v>
      </c>
    </row>
    <row r="65" spans="1:13" ht="55.5" customHeight="1">
      <c r="A65" s="205" t="s">
        <v>1238</v>
      </c>
      <c r="B65" s="206" t="s">
        <v>319</v>
      </c>
      <c r="C65" s="216" t="s">
        <v>4333</v>
      </c>
      <c r="D65" s="216" t="s">
        <v>4334</v>
      </c>
      <c r="E65" s="216" t="s">
        <v>4335</v>
      </c>
      <c r="F65" s="205" t="s">
        <v>1283</v>
      </c>
      <c r="G65" s="216" t="s">
        <v>1284</v>
      </c>
      <c r="H65" s="205" t="s">
        <v>322</v>
      </c>
    </row>
    <row r="66" spans="1:13" ht="15">
      <c r="A66" s="207">
        <v>1</v>
      </c>
      <c r="B66" s="147" t="s">
        <v>1242</v>
      </c>
      <c r="C66" s="147" t="s">
        <v>270</v>
      </c>
      <c r="D66" s="147" t="s">
        <v>284</v>
      </c>
      <c r="E66" s="147" t="s">
        <v>17</v>
      </c>
      <c r="F66" s="148">
        <v>50000</v>
      </c>
      <c r="G66" s="171">
        <f>IFERROR(IF(C66="Cars_by_market_segment",VLOOKUP(_xlfn.CONCAT(C66,D66,E66),'DESNZ Cat 6-9'!$B$14:$M$82,11,FALSE)+VLOOKUP(_xlfn.CONCAT(C66,D66,E66),'DESNZ Cat 6-9'!$B$14:$M$82,12,FALSE),VLOOKUP(C66,'DESNZ Cat 6-9'!$Q$41:$S$44,2,FALSE)+VLOOKUP(C66,'DESNZ Cat 6-9'!$Q$41:$S$44,3,FALSE)),"")</f>
        <v>0.37048234097035038</v>
      </c>
      <c r="H66" s="171">
        <f>IFERROR(IF(F66="","",G66*F66/1000),"")</f>
        <v>18.524117048517518</v>
      </c>
    </row>
    <row r="67" spans="1:13" ht="15.75" thickBot="1">
      <c r="A67" s="207">
        <v>2</v>
      </c>
      <c r="B67" s="150"/>
      <c r="C67" s="150"/>
      <c r="D67" s="150"/>
      <c r="E67" s="150"/>
      <c r="F67" s="151"/>
      <c r="G67" s="172" t="str">
        <f>IFERROR(IF(C67="Cars_by_market_segment",VLOOKUP(_xlfn.CONCAT(C67,D67,E67),'DESNZ Cat 6-9'!$B$14:$M$82,11,FALSE)+VLOOKUP(_xlfn.CONCAT(C67,D67,E67),'DESNZ Cat 6-9'!$B$14:$M$82,12,FALSE),VLOOKUP(C67,'DESNZ Cat 6-9'!$Q$41:$S$44,2,FALSE)+VLOOKUP(C67,'DESNZ Cat 6-9'!$Q$41:$S$44,3,FALSE)),"")</f>
        <v/>
      </c>
      <c r="H67" s="172" t="str">
        <f>IFERROR(IF(F67="","",G67*F67/1000),"")</f>
        <v/>
      </c>
    </row>
    <row r="68" spans="1:13" ht="15.75" thickBot="1">
      <c r="A68" s="207">
        <v>3</v>
      </c>
      <c r="B68" s="150"/>
      <c r="C68" s="150"/>
      <c r="D68" s="150"/>
      <c r="E68" s="150"/>
      <c r="F68" s="151"/>
      <c r="G68" s="172" t="str">
        <f>IFERROR(IF(C68="Cars_by_market_segment",VLOOKUP(_xlfn.CONCAT(C68,D68,E68),'DESNZ Cat 6-9'!$B$14:$M$82,11,FALSE)+VLOOKUP(_xlfn.CONCAT(C68,D68,E68),'DESNZ Cat 6-9'!$B$14:$M$82,12,FALSE),VLOOKUP(C68,'DESNZ Cat 6-9'!$Q$41:$S$44,2,FALSE)+VLOOKUP(C68,'DESNZ Cat 6-9'!$Q$41:$S$44,3,FALSE)),"")</f>
        <v/>
      </c>
      <c r="H68" s="172" t="str">
        <f t="shared" ref="H68:H85" si="0">IFERROR(IF(F68="","",G68*F68/1000),"")</f>
        <v/>
      </c>
      <c r="J68" s="1562" t="s">
        <v>1285</v>
      </c>
      <c r="K68" s="1563"/>
      <c r="L68" s="1564"/>
    </row>
    <row r="69" spans="1:13" ht="60">
      <c r="A69" s="207">
        <v>4</v>
      </c>
      <c r="B69" s="150"/>
      <c r="C69" s="150"/>
      <c r="D69" s="150"/>
      <c r="E69" s="150"/>
      <c r="F69" s="151"/>
      <c r="G69" s="172" t="str">
        <f>IFERROR(IF(C69="Cars_by_market_segment",VLOOKUP(_xlfn.CONCAT(C69,D69,E69),'DESNZ Cat 6-9'!$B$14:$M$82,11,FALSE)+VLOOKUP(_xlfn.CONCAT(C69,D69,E69),'DESNZ Cat 6-9'!$B$14:$M$82,12,FALSE),VLOOKUP(C69,'DESNZ Cat 6-9'!$Q$41:$S$44,2,FALSE)+VLOOKUP(C69,'DESNZ Cat 6-9'!$Q$41:$S$44,3,FALSE)),"")</f>
        <v/>
      </c>
      <c r="H69" s="172" t="str">
        <f t="shared" si="0"/>
        <v/>
      </c>
      <c r="J69" s="816" t="s">
        <v>1286</v>
      </c>
      <c r="K69" s="817" t="s">
        <v>1287</v>
      </c>
      <c r="L69" s="818" t="s">
        <v>4027</v>
      </c>
      <c r="M69" s="819" t="s">
        <v>1288</v>
      </c>
    </row>
    <row r="70" spans="1:13" ht="15">
      <c r="A70" s="207">
        <v>5</v>
      </c>
      <c r="B70" s="150"/>
      <c r="C70" s="150"/>
      <c r="D70" s="150"/>
      <c r="E70" s="150"/>
      <c r="F70" s="151"/>
      <c r="G70" s="172" t="str">
        <f>IFERROR(IF(C70="Cars_by_market_segment",VLOOKUP(_xlfn.CONCAT(C70,D70,E70),'DESNZ Cat 6-9'!$B$14:$M$82,11,FALSE)+VLOOKUP(_xlfn.CONCAT(C70,D70,E70),'DESNZ Cat 6-9'!$B$14:$M$82,12,FALSE),VLOOKUP(C70,'DESNZ Cat 6-9'!$Q$41:$S$44,2,FALSE)+VLOOKUP(C70,'DESNZ Cat 6-9'!$Q$41:$S$44,3,FALSE)),"")</f>
        <v/>
      </c>
      <c r="H70" s="172" t="str">
        <f t="shared" si="0"/>
        <v/>
      </c>
      <c r="J70" s="173" t="s">
        <v>281</v>
      </c>
      <c r="K70" s="10">
        <f t="shared" ref="K70:K78" si="1">RANK(L70,$L$70:$L$78)</f>
        <v>1</v>
      </c>
      <c r="L70" s="815">
        <f>VLOOKUP(J70,'DESNZ Cat 6-9'!$Q$31:$S$39,2,FALSE)+VLOOKUP(J70,'DESNZ Cat 6-9'!$Q$31:$S$39,3,FALSE)</f>
        <v>0.6193734678389925</v>
      </c>
      <c r="M70" s="174" t="s">
        <v>1289</v>
      </c>
    </row>
    <row r="71" spans="1:13" ht="29.25">
      <c r="A71" s="207">
        <v>6</v>
      </c>
      <c r="B71" s="150"/>
      <c r="C71" s="150"/>
      <c r="D71" s="150"/>
      <c r="E71" s="150"/>
      <c r="F71" s="151"/>
      <c r="G71" s="172" t="str">
        <f>IFERROR(IF(C71="Cars_by_market_segment",VLOOKUP(_xlfn.CONCAT(C71,D71,E71),'DESNZ Cat 6-9'!$B$14:$M$82,11,FALSE)+VLOOKUP(_xlfn.CONCAT(C71,D71,E71),'DESNZ Cat 6-9'!$B$14:$M$82,12,FALSE),VLOOKUP(C71,'DESNZ Cat 6-9'!$Q$41:$S$44,2,FALSE)+VLOOKUP(C71,'DESNZ Cat 6-9'!$Q$41:$S$44,3,FALSE)),"")</f>
        <v/>
      </c>
      <c r="H71" s="172" t="str">
        <f t="shared" si="0"/>
        <v/>
      </c>
      <c r="J71" s="173" t="s">
        <v>274</v>
      </c>
      <c r="K71" s="10">
        <f t="shared" si="1"/>
        <v>4</v>
      </c>
      <c r="L71" s="815">
        <f>VLOOKUP(J71,'DESNZ Cat 6-9'!$Q$31:$S$39,2,FALSE)+VLOOKUP(J71,'DESNZ Cat 6-9'!$Q$31:$S$39,3,FALSE)</f>
        <v>0.39192899666419978</v>
      </c>
      <c r="M71" s="174" t="s">
        <v>1291</v>
      </c>
    </row>
    <row r="72" spans="1:13" ht="43.5">
      <c r="A72" s="207">
        <v>7</v>
      </c>
      <c r="B72" s="150"/>
      <c r="C72" s="150"/>
      <c r="D72" s="150"/>
      <c r="E72" s="150"/>
      <c r="F72" s="151"/>
      <c r="G72" s="172" t="str">
        <f>IFERROR(IF(C72="Cars_by_market_segment",VLOOKUP(_xlfn.CONCAT(C72,D72,E72),'DESNZ Cat 6-9'!$B$14:$M$82,11,FALSE)+VLOOKUP(_xlfn.CONCAT(C72,D72,E72),'DESNZ Cat 6-9'!$B$14:$M$82,12,FALSE),VLOOKUP(C72,'DESNZ Cat 6-9'!$Q$41:$S$44,2,FALSE)+VLOOKUP(C72,'DESNZ Cat 6-9'!$Q$41:$S$44,3,FALSE)),"")</f>
        <v/>
      </c>
      <c r="H72" s="172" t="str">
        <f t="shared" si="0"/>
        <v/>
      </c>
      <c r="J72" s="173" t="s">
        <v>283</v>
      </c>
      <c r="K72" s="10">
        <f t="shared" si="1"/>
        <v>2</v>
      </c>
      <c r="L72" s="815">
        <f>VLOOKUP(J72,'DESNZ Cat 6-9'!$Q$31:$S$39,2,FALSE)+VLOOKUP(J72,'DESNZ Cat 6-9'!$Q$31:$S$39,3,FALSE)</f>
        <v>0.47078825676359881</v>
      </c>
      <c r="M72" s="174" t="s">
        <v>1290</v>
      </c>
    </row>
    <row r="73" spans="1:13" ht="15">
      <c r="A73" s="207">
        <v>8</v>
      </c>
      <c r="B73" s="150"/>
      <c r="C73" s="150"/>
      <c r="D73" s="150"/>
      <c r="E73" s="150"/>
      <c r="F73" s="151"/>
      <c r="G73" s="172" t="str">
        <f>IFERROR(IF(C73="Cars_by_market_segment",VLOOKUP(_xlfn.CONCAT(C73,D73,E73),'DESNZ Cat 6-9'!$B$14:$M$82,11,FALSE)+VLOOKUP(_xlfn.CONCAT(C73,D73,E73),'DESNZ Cat 6-9'!$B$14:$M$82,12,FALSE),VLOOKUP(C73,'DESNZ Cat 6-9'!$Q$41:$S$44,2,FALSE)+VLOOKUP(C73,'DESNZ Cat 6-9'!$Q$41:$S$44,3,FALSE)),"")</f>
        <v/>
      </c>
      <c r="H73" s="172" t="str">
        <f t="shared" si="0"/>
        <v/>
      </c>
      <c r="J73" s="173" t="s">
        <v>279</v>
      </c>
      <c r="K73" s="10">
        <f t="shared" si="1"/>
        <v>3</v>
      </c>
      <c r="L73" s="815">
        <f>VLOOKUP(J73,'DESNZ Cat 6-9'!$Q$31:$S$39,2,FALSE)+VLOOKUP(J73,'DESNZ Cat 6-9'!$Q$31:$S$39,3,FALSE)</f>
        <v>0.40705543303197461</v>
      </c>
      <c r="M73" s="174" t="s">
        <v>1293</v>
      </c>
    </row>
    <row r="74" spans="1:13" ht="15">
      <c r="A74" s="207">
        <v>9</v>
      </c>
      <c r="B74" s="150"/>
      <c r="C74" s="150"/>
      <c r="D74" s="150"/>
      <c r="E74" s="150"/>
      <c r="F74" s="151"/>
      <c r="G74" s="172" t="str">
        <f>IFERROR(IF(C74="Cars_by_market_segment",VLOOKUP(_xlfn.CONCAT(C74,D74,E74),'DESNZ Cat 6-9'!$B$14:$M$82,11,FALSE)+VLOOKUP(_xlfn.CONCAT(C74,D74,E74),'DESNZ Cat 6-9'!$B$14:$M$82,12,FALSE),VLOOKUP(C74,'DESNZ Cat 6-9'!$Q$41:$S$44,2,FALSE)+VLOOKUP(C74,'DESNZ Cat 6-9'!$Q$41:$S$44,3,FALSE)),"")</f>
        <v/>
      </c>
      <c r="H74" s="172" t="str">
        <f t="shared" si="0"/>
        <v/>
      </c>
      <c r="J74" s="173" t="s">
        <v>285</v>
      </c>
      <c r="K74" s="10">
        <f t="shared" si="1"/>
        <v>5</v>
      </c>
      <c r="L74" s="815">
        <f>VLOOKUP(J74,'DESNZ Cat 6-9'!$Q$31:$S$39,2,FALSE)+VLOOKUP(J74,'DESNZ Cat 6-9'!$Q$31:$S$39,3,FALSE)</f>
        <v>0.37535026671426447</v>
      </c>
      <c r="M74" s="174" t="s">
        <v>1294</v>
      </c>
    </row>
    <row r="75" spans="1:13" ht="30">
      <c r="A75" s="207">
        <v>10</v>
      </c>
      <c r="B75" s="150"/>
      <c r="C75" s="150"/>
      <c r="D75" s="150"/>
      <c r="E75" s="150"/>
      <c r="F75" s="151"/>
      <c r="G75" s="172" t="str">
        <f>IFERROR(IF(C75="Cars_by_market_segment",VLOOKUP(_xlfn.CONCAT(C75,D75,E75),'DESNZ Cat 6-9'!$B$14:$M$82,11,FALSE)+VLOOKUP(_xlfn.CONCAT(C75,D75,E75),'DESNZ Cat 6-9'!$B$14:$M$82,12,FALSE),VLOOKUP(C75,'DESNZ Cat 6-9'!$Q$41:$S$44,2,FALSE)+VLOOKUP(C75,'DESNZ Cat 6-9'!$Q$41:$S$44,3,FALSE)),"")</f>
        <v/>
      </c>
      <c r="H75" s="172" t="str">
        <f t="shared" si="0"/>
        <v/>
      </c>
      <c r="J75" s="173" t="s">
        <v>284</v>
      </c>
      <c r="K75" s="10">
        <f t="shared" si="1"/>
        <v>6</v>
      </c>
      <c r="L75" s="815">
        <f>VLOOKUP(J75,'DESNZ Cat 6-9'!$Q$31:$S$39,2,FALSE)+VLOOKUP(J75,'DESNZ Cat 6-9'!$Q$31:$S$39,3,FALSE)</f>
        <v>0.36498627075668827</v>
      </c>
      <c r="M75" s="174" t="s">
        <v>1292</v>
      </c>
    </row>
    <row r="76" spans="1:13" ht="15">
      <c r="A76" s="207">
        <v>11</v>
      </c>
      <c r="B76" s="150"/>
      <c r="C76" s="150"/>
      <c r="D76" s="150"/>
      <c r="E76" s="150"/>
      <c r="F76" s="151"/>
      <c r="G76" s="172" t="str">
        <f>IFERROR(IF(C76="Cars_by_market_segment",VLOOKUP(_xlfn.CONCAT(C76,D76,E76),'DESNZ Cat 6-9'!$B$14:$M$82,11,FALSE)+VLOOKUP(_xlfn.CONCAT(C76,D76,E76),'DESNZ Cat 6-9'!$B$14:$M$82,12,FALSE),VLOOKUP(C76,'DESNZ Cat 6-9'!$Q$41:$S$44,2,FALSE)+VLOOKUP(C76,'DESNZ Cat 6-9'!$Q$41:$S$44,3,FALSE)),"")</f>
        <v/>
      </c>
      <c r="H76" s="172" t="str">
        <f t="shared" si="0"/>
        <v/>
      </c>
      <c r="J76" s="173" t="s">
        <v>280</v>
      </c>
      <c r="K76" s="10">
        <f t="shared" si="1"/>
        <v>7</v>
      </c>
      <c r="L76" s="815">
        <f>VLOOKUP(J76,'DESNZ Cat 6-9'!$Q$31:$S$39,2,FALSE)+VLOOKUP(J76,'DESNZ Cat 6-9'!$Q$31:$S$39,3,FALSE)</f>
        <v>0.32665718747965344</v>
      </c>
      <c r="M76" s="174" t="s">
        <v>1295</v>
      </c>
    </row>
    <row r="77" spans="1:13" ht="29.25">
      <c r="A77" s="207">
        <v>12</v>
      </c>
      <c r="B77" s="150"/>
      <c r="C77" s="150"/>
      <c r="D77" s="150"/>
      <c r="E77" s="150"/>
      <c r="F77" s="151"/>
      <c r="G77" s="172" t="str">
        <f>IFERROR(IF(C77="Cars_by_market_segment",VLOOKUP(_xlfn.CONCAT(C77,D77,E77),'DESNZ Cat 6-9'!$B$14:$M$82,11,FALSE)+VLOOKUP(_xlfn.CONCAT(C77,D77,E77),'DESNZ Cat 6-9'!$B$14:$M$82,12,FALSE),VLOOKUP(C77,'DESNZ Cat 6-9'!$Q$41:$S$44,2,FALSE)+VLOOKUP(C77,'DESNZ Cat 6-9'!$Q$41:$S$44,3,FALSE)),"")</f>
        <v/>
      </c>
      <c r="H77" s="172" t="str">
        <f t="shared" si="0"/>
        <v/>
      </c>
      <c r="J77" s="173" t="s">
        <v>286</v>
      </c>
      <c r="K77" s="10">
        <f t="shared" si="1"/>
        <v>8</v>
      </c>
      <c r="L77" s="815">
        <f>VLOOKUP(J77,'DESNZ Cat 6-9'!$Q$31:$S$39,2,FALSE)+VLOOKUP(J77,'DESNZ Cat 6-9'!$Q$31:$S$39,3,FALSE)</f>
        <v>0.2890512115832029</v>
      </c>
      <c r="M77" s="174" t="s">
        <v>1296</v>
      </c>
    </row>
    <row r="78" spans="1:13" ht="30" thickBot="1">
      <c r="A78" s="207">
        <v>13</v>
      </c>
      <c r="B78" s="150"/>
      <c r="C78" s="150"/>
      <c r="D78" s="150"/>
      <c r="E78" s="150"/>
      <c r="F78" s="151"/>
      <c r="G78" s="172" t="str">
        <f>IFERROR(IF(C78="Cars_by_market_segment",VLOOKUP(_xlfn.CONCAT(C78,D78,E78),'DESNZ Cat 6-9'!$B$14:$M$82,11,FALSE)+VLOOKUP(_xlfn.CONCAT(C78,D78,E78),'DESNZ Cat 6-9'!$B$14:$M$82,12,FALSE),VLOOKUP(C78,'DESNZ Cat 6-9'!$Q$41:$S$44,2,FALSE)+VLOOKUP(C78,'DESNZ Cat 6-9'!$Q$41:$S$44,3,FALSE)),"")</f>
        <v/>
      </c>
      <c r="H78" s="172" t="str">
        <f t="shared" si="0"/>
        <v/>
      </c>
      <c r="J78" s="175" t="s">
        <v>287</v>
      </c>
      <c r="K78" s="176">
        <f t="shared" si="1"/>
        <v>9</v>
      </c>
      <c r="L78" s="820">
        <f>VLOOKUP(J78,'DESNZ Cat 6-9'!$Q$31:$S$39,2,FALSE)+VLOOKUP(J78,'DESNZ Cat 6-9'!$Q$31:$S$39,3,FALSE)</f>
        <v>0.26257508287868969</v>
      </c>
      <c r="M78" s="177" t="s">
        <v>1297</v>
      </c>
    </row>
    <row r="79" spans="1:13" ht="15">
      <c r="A79" s="207">
        <v>14</v>
      </c>
      <c r="B79" s="150"/>
      <c r="C79" s="150"/>
      <c r="D79" s="150"/>
      <c r="E79" s="150"/>
      <c r="F79" s="151"/>
      <c r="G79" s="172" t="str">
        <f>IFERROR(IF(C79="Cars_by_market_segment",VLOOKUP(_xlfn.CONCAT(C79,D79,E79),'DESNZ Cat 6-9'!$B$14:$M$82,11,FALSE)+VLOOKUP(_xlfn.CONCAT(C79,D79,E79),'DESNZ Cat 6-9'!$B$14:$M$82,12,FALSE),VLOOKUP(C79,'DESNZ Cat 6-9'!$Q$41:$S$44,2,FALSE)+VLOOKUP(C79,'DESNZ Cat 6-9'!$Q$41:$S$44,3,FALSE)),"")</f>
        <v/>
      </c>
      <c r="H79" s="172" t="str">
        <f t="shared" si="0"/>
        <v/>
      </c>
    </row>
    <row r="80" spans="1:13" ht="15">
      <c r="A80" s="207">
        <v>15</v>
      </c>
      <c r="B80" s="150"/>
      <c r="C80" s="150"/>
      <c r="D80" s="150"/>
      <c r="E80" s="150"/>
      <c r="F80" s="151"/>
      <c r="G80" s="172" t="str">
        <f>IFERROR(IF(C80="Cars_by_market_segment",VLOOKUP(_xlfn.CONCAT(C80,D80,E80),'DESNZ Cat 6-9'!$B$14:$M$82,11,FALSE)+VLOOKUP(_xlfn.CONCAT(C80,D80,E80),'DESNZ Cat 6-9'!$B$14:$M$82,12,FALSE),VLOOKUP(C80,'DESNZ Cat 6-9'!$Q$41:$S$44,2,FALSE)+VLOOKUP(C80,'DESNZ Cat 6-9'!$Q$41:$S$44,3,FALSE)),"")</f>
        <v/>
      </c>
      <c r="H80" s="172" t="str">
        <f t="shared" si="0"/>
        <v/>
      </c>
    </row>
    <row r="81" spans="1:8" ht="15">
      <c r="A81" s="207">
        <v>16</v>
      </c>
      <c r="B81" s="150"/>
      <c r="C81" s="150"/>
      <c r="D81" s="150"/>
      <c r="E81" s="150"/>
      <c r="F81" s="151"/>
      <c r="G81" s="172" t="str">
        <f>IFERROR(IF(C81="Cars_by_market_segment",VLOOKUP(_xlfn.CONCAT(C81,D81,E81),'DESNZ Cat 6-9'!$B$14:$M$82,11,FALSE)+VLOOKUP(_xlfn.CONCAT(C81,D81,E81),'DESNZ Cat 6-9'!$B$14:$M$82,12,FALSE),VLOOKUP(C81,'DESNZ Cat 6-9'!$Q$41:$S$44,2,FALSE)+VLOOKUP(C81,'DESNZ Cat 6-9'!$Q$41:$S$44,3,FALSE)),"")</f>
        <v/>
      </c>
      <c r="H81" s="172" t="str">
        <f t="shared" si="0"/>
        <v/>
      </c>
    </row>
    <row r="82" spans="1:8" ht="15">
      <c r="A82" s="207">
        <v>17</v>
      </c>
      <c r="B82" s="150"/>
      <c r="C82" s="150"/>
      <c r="D82" s="150"/>
      <c r="E82" s="150"/>
      <c r="F82" s="151"/>
      <c r="G82" s="172" t="str">
        <f>IFERROR(IF(C82="Cars_by_market_segment",VLOOKUP(_xlfn.CONCAT(C82,D82,E82),'DESNZ Cat 6-9'!$B$14:$M$82,11,FALSE)+VLOOKUP(_xlfn.CONCAT(C82,D82,E82),'DESNZ Cat 6-9'!$B$14:$M$82,12,FALSE),VLOOKUP(C82,'DESNZ Cat 6-9'!$Q$41:$S$44,2,FALSE)+VLOOKUP(C82,'DESNZ Cat 6-9'!$Q$41:$S$44,3,FALSE)),"")</f>
        <v/>
      </c>
      <c r="H82" s="172" t="str">
        <f t="shared" si="0"/>
        <v/>
      </c>
    </row>
    <row r="83" spans="1:8" ht="15">
      <c r="A83" s="207">
        <v>18</v>
      </c>
      <c r="B83" s="150"/>
      <c r="C83" s="150"/>
      <c r="D83" s="150"/>
      <c r="E83" s="150"/>
      <c r="F83" s="151"/>
      <c r="G83" s="172" t="str">
        <f>IFERROR(IF(C83="Cars_by_market_segment",VLOOKUP(_xlfn.CONCAT(C83,D83,E83),'DESNZ Cat 6-9'!$B$14:$M$82,11,FALSE)+VLOOKUP(_xlfn.CONCAT(C83,D83,E83),'DESNZ Cat 6-9'!$B$14:$M$82,12,FALSE),VLOOKUP(C83,'DESNZ Cat 6-9'!$Q$41:$S$44,2,FALSE)+VLOOKUP(C83,'DESNZ Cat 6-9'!$Q$41:$S$44,3,FALSE)),"")</f>
        <v/>
      </c>
      <c r="H83" s="172" t="str">
        <f t="shared" si="0"/>
        <v/>
      </c>
    </row>
    <row r="84" spans="1:8" ht="15">
      <c r="A84" s="207">
        <v>19</v>
      </c>
      <c r="B84" s="150"/>
      <c r="C84" s="150"/>
      <c r="D84" s="150"/>
      <c r="E84" s="150"/>
      <c r="F84" s="151"/>
      <c r="G84" s="172" t="str">
        <f>IFERROR(IF(C84="Cars_by_market_segment",VLOOKUP(_xlfn.CONCAT(C84,D84,E84),'DESNZ Cat 6-9'!$B$14:$M$82,11,FALSE)+VLOOKUP(_xlfn.CONCAT(C84,D84,E84),'DESNZ Cat 6-9'!$B$14:$M$82,12,FALSE),VLOOKUP(C84,'DESNZ Cat 6-9'!$Q$41:$S$44,2,FALSE)+VLOOKUP(C84,'DESNZ Cat 6-9'!$Q$41:$S$44,3,FALSE)),"")</f>
        <v/>
      </c>
      <c r="H84" s="172" t="str">
        <f t="shared" si="0"/>
        <v/>
      </c>
    </row>
    <row r="85" spans="1:8" ht="15.75" thickBot="1">
      <c r="A85" s="207">
        <v>20</v>
      </c>
      <c r="B85" s="150"/>
      <c r="C85" s="150"/>
      <c r="D85" s="150"/>
      <c r="E85" s="150"/>
      <c r="F85" s="151"/>
      <c r="G85" s="172" t="str">
        <f>IFERROR(IF(C85="Cars_by_market_segment",VLOOKUP(_xlfn.CONCAT(C85,D85,E85),'DESNZ Cat 6-9'!$B$14:$M$82,11,FALSE)+VLOOKUP(_xlfn.CONCAT(C85,D85,E85),'DESNZ Cat 6-9'!$B$14:$M$82,12,FALSE),VLOOKUP(C85,'DESNZ Cat 6-9'!$Q$41:$S$44,2,FALSE)+VLOOKUP(C85,'DESNZ Cat 6-9'!$Q$41:$S$44,3,FALSE)),"")</f>
        <v/>
      </c>
      <c r="H85" s="172" t="str">
        <f t="shared" si="0"/>
        <v/>
      </c>
    </row>
    <row r="86" spans="1:8" ht="15" thickBot="1">
      <c r="G86" s="218" t="s">
        <v>1268</v>
      </c>
      <c r="H86" s="179">
        <f>SUM(H67:H85)</f>
        <v>0</v>
      </c>
    </row>
    <row r="87" spans="1:8">
      <c r="E87" s="246"/>
      <c r="F87" s="13"/>
    </row>
    <row r="88" spans="1:8" ht="18.75">
      <c r="A88" s="203" t="s">
        <v>1384</v>
      </c>
      <c r="E88" s="246"/>
      <c r="F88" s="13"/>
    </row>
    <row r="89" spans="1:8" ht="17.45" customHeight="1">
      <c r="A89" s="204" t="s">
        <v>1237</v>
      </c>
      <c r="C89" s="204"/>
      <c r="E89" s="246"/>
      <c r="F89" s="13"/>
    </row>
    <row r="90" spans="1:8" ht="23.45" customHeight="1">
      <c r="A90" s="236" t="s">
        <v>4070</v>
      </c>
      <c r="C90" s="204"/>
      <c r="E90" s="246"/>
      <c r="F90" s="13"/>
    </row>
    <row r="91" spans="1:8" ht="15.75">
      <c r="A91" s="245"/>
      <c r="B91" s="224" t="s">
        <v>312</v>
      </c>
      <c r="C91" s="224" t="s">
        <v>312</v>
      </c>
      <c r="D91" s="224" t="s">
        <v>312</v>
      </c>
      <c r="E91" s="246"/>
      <c r="F91" s="13"/>
    </row>
    <row r="92" spans="1:8" ht="60">
      <c r="A92" s="205" t="s">
        <v>1238</v>
      </c>
      <c r="B92" s="206" t="s">
        <v>319</v>
      </c>
      <c r="C92" s="216" t="s">
        <v>4339</v>
      </c>
      <c r="D92" s="205" t="s">
        <v>1385</v>
      </c>
      <c r="E92" s="216" t="s">
        <v>4264</v>
      </c>
      <c r="F92" s="205" t="s">
        <v>322</v>
      </c>
    </row>
    <row r="93" spans="1:8" ht="15">
      <c r="A93" s="207">
        <v>1</v>
      </c>
      <c r="B93" s="147" t="s">
        <v>1242</v>
      </c>
      <c r="C93" s="254" t="s">
        <v>1728</v>
      </c>
      <c r="D93" s="254">
        <v>4</v>
      </c>
      <c r="E93" s="250">
        <f>IFERROR(VLOOKUP($C93,EF!$V$5:$W$42,2,FALSE),"")</f>
        <v>35</v>
      </c>
      <c r="F93" s="171">
        <f>IFERROR(E93*D93/1000,"")</f>
        <v>0.14000000000000001</v>
      </c>
    </row>
    <row r="94" spans="1:8" ht="15">
      <c r="A94" s="207">
        <v>2</v>
      </c>
      <c r="B94" s="150"/>
      <c r="C94" s="166"/>
      <c r="D94" s="166"/>
      <c r="E94" s="249" t="str">
        <f>IFERROR(VLOOKUP($C94,EF!$V$5:$W$42,2,FALSE),"")</f>
        <v/>
      </c>
      <c r="F94" s="172" t="str">
        <f t="shared" ref="F94:F112" si="2">IFERROR(E94*D94/1000,"")</f>
        <v/>
      </c>
    </row>
    <row r="95" spans="1:8" ht="15">
      <c r="A95" s="207">
        <v>3</v>
      </c>
      <c r="B95" s="150"/>
      <c r="C95" s="166"/>
      <c r="D95" s="166"/>
      <c r="E95" s="249" t="str">
        <f>IFERROR(VLOOKUP($C95,EF!$V$5:$W$42,2,FALSE),"")</f>
        <v/>
      </c>
      <c r="F95" s="172" t="str">
        <f t="shared" si="2"/>
        <v/>
      </c>
    </row>
    <row r="96" spans="1:8" ht="15">
      <c r="A96" s="207">
        <v>4</v>
      </c>
      <c r="B96" s="150"/>
      <c r="C96" s="166"/>
      <c r="D96" s="166"/>
      <c r="E96" s="249" t="str">
        <f>IFERROR(VLOOKUP($C96,EF!$V$5:$W$42,2,FALSE),"")</f>
        <v/>
      </c>
      <c r="F96" s="172" t="str">
        <f t="shared" si="2"/>
        <v/>
      </c>
    </row>
    <row r="97" spans="1:6" ht="15">
      <c r="A97" s="207">
        <v>5</v>
      </c>
      <c r="B97" s="150"/>
      <c r="C97" s="166"/>
      <c r="D97" s="166"/>
      <c r="E97" s="249" t="str">
        <f>IFERROR(VLOOKUP($C97,EF!$V$5:$W$42,2,FALSE),"")</f>
        <v/>
      </c>
      <c r="F97" s="172" t="str">
        <f t="shared" si="2"/>
        <v/>
      </c>
    </row>
    <row r="98" spans="1:6" ht="15">
      <c r="A98" s="207">
        <v>6</v>
      </c>
      <c r="B98" s="150"/>
      <c r="C98" s="166"/>
      <c r="D98" s="166"/>
      <c r="E98" s="249" t="str">
        <f>IFERROR(VLOOKUP($C98,EF!$V$5:$W$42,2,FALSE),"")</f>
        <v/>
      </c>
      <c r="F98" s="172" t="str">
        <f t="shared" si="2"/>
        <v/>
      </c>
    </row>
    <row r="99" spans="1:6" ht="15">
      <c r="A99" s="207">
        <v>7</v>
      </c>
      <c r="B99" s="150"/>
      <c r="C99" s="166"/>
      <c r="D99" s="166"/>
      <c r="E99" s="249" t="str">
        <f>IFERROR(VLOOKUP($C99,EF!$V$5:$W$42,2,FALSE),"")</f>
        <v/>
      </c>
      <c r="F99" s="172" t="str">
        <f t="shared" si="2"/>
        <v/>
      </c>
    </row>
    <row r="100" spans="1:6" ht="15">
      <c r="A100" s="207">
        <v>8</v>
      </c>
      <c r="B100" s="150"/>
      <c r="C100" s="166"/>
      <c r="D100" s="166"/>
      <c r="E100" s="249" t="str">
        <f>IFERROR(VLOOKUP($C100,EF!$V$5:$W$42,2,FALSE),"")</f>
        <v/>
      </c>
      <c r="F100" s="172" t="str">
        <f t="shared" si="2"/>
        <v/>
      </c>
    </row>
    <row r="101" spans="1:6" ht="15">
      <c r="A101" s="207">
        <v>9</v>
      </c>
      <c r="B101" s="150"/>
      <c r="C101" s="166"/>
      <c r="D101" s="166"/>
      <c r="E101" s="249" t="str">
        <f>IFERROR(VLOOKUP($C101,EF!$V$5:$W$42,2,FALSE),"")</f>
        <v/>
      </c>
      <c r="F101" s="172" t="str">
        <f t="shared" si="2"/>
        <v/>
      </c>
    </row>
    <row r="102" spans="1:6" ht="15">
      <c r="A102" s="207">
        <v>10</v>
      </c>
      <c r="B102" s="150"/>
      <c r="C102" s="166"/>
      <c r="D102" s="166"/>
      <c r="E102" s="249" t="str">
        <f>IFERROR(VLOOKUP($C102,EF!$V$5:$W$42,2,FALSE),"")</f>
        <v/>
      </c>
      <c r="F102" s="172" t="str">
        <f t="shared" si="2"/>
        <v/>
      </c>
    </row>
    <row r="103" spans="1:6" ht="15">
      <c r="A103" s="207">
        <v>11</v>
      </c>
      <c r="B103" s="150"/>
      <c r="C103" s="166"/>
      <c r="D103" s="166"/>
      <c r="E103" s="249" t="str">
        <f>IFERROR(VLOOKUP($C103,EF!$V$5:$W$42,2,FALSE),"")</f>
        <v/>
      </c>
      <c r="F103" s="172" t="str">
        <f t="shared" si="2"/>
        <v/>
      </c>
    </row>
    <row r="104" spans="1:6" ht="15">
      <c r="A104" s="207">
        <v>12</v>
      </c>
      <c r="B104" s="150"/>
      <c r="C104" s="166"/>
      <c r="D104" s="166"/>
      <c r="E104" s="249" t="str">
        <f>IFERROR(VLOOKUP($C104,EF!$V$5:$W$42,2,FALSE),"")</f>
        <v/>
      </c>
      <c r="F104" s="172" t="str">
        <f t="shared" si="2"/>
        <v/>
      </c>
    </row>
    <row r="105" spans="1:6" ht="15">
      <c r="A105" s="207">
        <v>13</v>
      </c>
      <c r="B105" s="150"/>
      <c r="C105" s="166"/>
      <c r="D105" s="166"/>
      <c r="E105" s="249" t="str">
        <f>IFERROR(VLOOKUP($C105,EF!$V$5:$W$42,2,FALSE),"")</f>
        <v/>
      </c>
      <c r="F105" s="172" t="str">
        <f t="shared" si="2"/>
        <v/>
      </c>
    </row>
    <row r="106" spans="1:6" ht="15">
      <c r="A106" s="207">
        <v>14</v>
      </c>
      <c r="B106" s="150"/>
      <c r="C106" s="166"/>
      <c r="D106" s="166"/>
      <c r="E106" s="249" t="str">
        <f>IFERROR(VLOOKUP($C106,EF!$V$5:$W$42,2,FALSE),"")</f>
        <v/>
      </c>
      <c r="F106" s="172" t="str">
        <f t="shared" si="2"/>
        <v/>
      </c>
    </row>
    <row r="107" spans="1:6" ht="15">
      <c r="A107" s="207">
        <v>15</v>
      </c>
      <c r="B107" s="150"/>
      <c r="C107" s="166"/>
      <c r="D107" s="166"/>
      <c r="E107" s="249" t="str">
        <f>IFERROR(VLOOKUP($C107,EF!$V$5:$W$42,2,FALSE),"")</f>
        <v/>
      </c>
      <c r="F107" s="172" t="str">
        <f t="shared" si="2"/>
        <v/>
      </c>
    </row>
    <row r="108" spans="1:6" ht="15">
      <c r="A108" s="207">
        <v>16</v>
      </c>
      <c r="B108" s="150"/>
      <c r="C108" s="166"/>
      <c r="D108" s="166"/>
      <c r="E108" s="249" t="str">
        <f>IFERROR(VLOOKUP($C108,EF!$V$5:$W$42,2,FALSE),"")</f>
        <v/>
      </c>
      <c r="F108" s="172" t="str">
        <f t="shared" si="2"/>
        <v/>
      </c>
    </row>
    <row r="109" spans="1:6" ht="15">
      <c r="A109" s="207">
        <v>17</v>
      </c>
      <c r="B109" s="150"/>
      <c r="C109" s="166"/>
      <c r="D109" s="166"/>
      <c r="E109" s="249" t="str">
        <f>IFERROR(VLOOKUP($C109,EF!$V$5:$W$42,2,FALSE),"")</f>
        <v/>
      </c>
      <c r="F109" s="172" t="str">
        <f t="shared" si="2"/>
        <v/>
      </c>
    </row>
    <row r="110" spans="1:6" ht="15">
      <c r="A110" s="207">
        <v>18</v>
      </c>
      <c r="B110" s="150"/>
      <c r="C110" s="166"/>
      <c r="D110" s="166"/>
      <c r="E110" s="249" t="str">
        <f>IFERROR(VLOOKUP($C110,EF!$V$5:$W$42,2,FALSE),"")</f>
        <v/>
      </c>
      <c r="F110" s="172" t="str">
        <f t="shared" si="2"/>
        <v/>
      </c>
    </row>
    <row r="111" spans="1:6" ht="15">
      <c r="A111" s="207">
        <v>19</v>
      </c>
      <c r="B111" s="150"/>
      <c r="C111" s="166"/>
      <c r="D111" s="166"/>
      <c r="E111" s="249" t="str">
        <f>IFERROR(VLOOKUP($C111,EF!$V$5:$W$42,2,FALSE),"")</f>
        <v/>
      </c>
      <c r="F111" s="172" t="str">
        <f t="shared" si="2"/>
        <v/>
      </c>
    </row>
    <row r="112" spans="1:6" ht="15.75" thickBot="1">
      <c r="A112" s="207">
        <v>20</v>
      </c>
      <c r="B112" s="150"/>
      <c r="C112" s="166"/>
      <c r="D112" s="166"/>
      <c r="E112" s="249" t="str">
        <f>IFERROR(VLOOKUP($C112,EF!$V$5:$W$42,2,FALSE),"")</f>
        <v/>
      </c>
      <c r="F112" s="172" t="str">
        <f t="shared" si="2"/>
        <v/>
      </c>
    </row>
    <row r="113" spans="5:6" ht="15" thickBot="1">
      <c r="E113" s="218" t="s">
        <v>1268</v>
      </c>
      <c r="F113" s="179">
        <f>SUM(F94:F112)</f>
        <v>0</v>
      </c>
    </row>
    <row r="114" spans="5:6">
      <c r="E114" s="246"/>
      <c r="F114" s="13"/>
    </row>
  </sheetData>
  <sheetProtection algorithmName="SHA-512" hashValue="dUjQbtuGDeOT97l7xMgwUgaxA0oCTG9HFnmUR0w4hOief5+gA/p75CUrH5XOB9haCh61n/hWM71jrJ8TAmdZuQ==" saltValue="nTnHh9u1kWtELGqPd4dw4g==" spinCount="100000" sheet="1" objects="1" scenarios="1"/>
  <sortState xmlns:xlrd2="http://schemas.microsoft.com/office/spreadsheetml/2017/richdata2" ref="J70:M78">
    <sortCondition ref="K70:K78"/>
  </sortState>
  <mergeCells count="6">
    <mergeCell ref="I38:J38"/>
    <mergeCell ref="J68:L68"/>
    <mergeCell ref="D33:D34"/>
    <mergeCell ref="I39:J39"/>
    <mergeCell ref="I40:J40"/>
    <mergeCell ref="I41:J41"/>
  </mergeCells>
  <dataValidations count="2">
    <dataValidation type="list" allowBlank="1" showInputMessage="1" showErrorMessage="1" sqref="D38:D57" xr:uid="{A81EC5B9-D0F2-44DE-B24C-DE8F395B7D41}">
      <formula1>INDIRECT(C38)</formula1>
    </dataValidation>
    <dataValidation type="list" allowBlank="1" showInputMessage="1" showErrorMessage="1" sqref="C38:C57" xr:uid="{31A0C2E1-1956-4C09-9BA5-BA851EB62017}">
      <formula1>"Short, Medium, Long"</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4">
        <x14:dataValidation type="list" allowBlank="1" showInputMessage="1" showErrorMessage="1" xr:uid="{F8EA074C-F2AC-4079-9D22-95BE7130A0CA}">
          <x14:formula1>
            <xm:f>'DESNZ Cat 6-9'!$AF$6:$AF$10</xm:f>
          </x14:formula1>
          <xm:sqref>C67:C85</xm:sqref>
        </x14:dataValidation>
        <x14:dataValidation type="list" allowBlank="1" showInputMessage="1" showErrorMessage="1" xr:uid="{2B5EFA7D-CF5E-4D77-979F-0F581AA7B64B}">
          <x14:formula1>
            <xm:f>IF($C66="Cars_by_market_segment",INDIRECT('DESNZ Cat 6-9'!$AF$45),"")</xm:f>
          </x14:formula1>
          <xm:sqref>E66:E85</xm:sqref>
        </x14:dataValidation>
        <x14:dataValidation type="list" allowBlank="1" showInputMessage="1" showErrorMessage="1" xr:uid="{CEC6C524-2A0D-4C3B-83FB-9CD81AE7F6C6}">
          <x14:formula1>
            <xm:f>IF($C66="Cars_by_market_segment",INDIRECT('DESNZ Cat 6-9'!$AF$18),"")</xm:f>
          </x14:formula1>
          <xm:sqref>D66:D85</xm:sqref>
        </x14:dataValidation>
        <x14:dataValidation type="list" allowBlank="1" showInputMessage="1" showErrorMessage="1" xr:uid="{DC214945-147A-41CD-9038-CC9CC8F49094}">
          <x14:formula1>
            <xm:f>EF!$V$5:$V$42</xm:f>
          </x14:formula1>
          <xm:sqref>C93:C112</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6FEA9E-2B43-4F13-A7E2-2BC6FCD71FC9}">
  <sheetPr codeName="Sheet28">
    <tabColor theme="3" tint="0.59999389629810485"/>
  </sheetPr>
  <dimension ref="A1:H95"/>
  <sheetViews>
    <sheetView showGridLines="0" zoomScale="80" zoomScaleNormal="80" workbookViewId="0"/>
  </sheetViews>
  <sheetFormatPr defaultColWidth="8.875" defaultRowHeight="14.25"/>
  <cols>
    <col min="2" max="2" width="39.5" customWidth="1"/>
    <col min="3" max="3" width="29.125" customWidth="1"/>
    <col min="4" max="4" width="20" customWidth="1"/>
    <col min="5" max="5" width="21.125" customWidth="1"/>
    <col min="6" max="6" width="22.5" customWidth="1"/>
    <col min="7" max="7" width="24.5" customWidth="1"/>
    <col min="8" max="8" width="19.375" bestFit="1" customWidth="1"/>
  </cols>
  <sheetData>
    <row r="1" spans="1:7" ht="25.7" customHeight="1">
      <c r="A1" s="74" t="s">
        <v>1386</v>
      </c>
      <c r="B1" s="74"/>
      <c r="C1" s="74"/>
      <c r="D1" s="74"/>
      <c r="E1" s="74"/>
      <c r="F1" s="74"/>
      <c r="G1" s="74"/>
    </row>
    <row r="2" spans="1:7" ht="18.75" customHeight="1">
      <c r="A2" s="198" t="s">
        <v>1387</v>
      </c>
      <c r="B2" s="110"/>
      <c r="C2" s="110"/>
      <c r="D2" s="110"/>
      <c r="E2" s="110"/>
      <c r="F2" s="110"/>
      <c r="G2" s="110"/>
    </row>
    <row r="3" spans="1:7" ht="18.75" customHeight="1">
      <c r="A3" s="112" t="s">
        <v>1366</v>
      </c>
      <c r="B3" s="110"/>
      <c r="C3" s="110"/>
      <c r="D3" s="110"/>
      <c r="E3" s="110"/>
      <c r="F3" s="110"/>
      <c r="G3" s="110"/>
    </row>
    <row r="4" spans="1:7" ht="18.75" customHeight="1">
      <c r="A4" s="112" t="s">
        <v>1388</v>
      </c>
      <c r="B4" s="110"/>
      <c r="C4" s="110"/>
      <c r="D4" s="110"/>
      <c r="E4" s="110"/>
      <c r="F4" s="110"/>
      <c r="G4" s="110"/>
    </row>
    <row r="5" spans="1:7" ht="18.75" customHeight="1">
      <c r="A5" s="251" t="s">
        <v>1389</v>
      </c>
      <c r="B5" s="110"/>
      <c r="C5" s="110"/>
      <c r="D5" s="110"/>
      <c r="E5" s="110"/>
      <c r="F5" s="110"/>
      <c r="G5" s="110"/>
    </row>
    <row r="6" spans="1:7" ht="18.75" customHeight="1">
      <c r="A6" s="252" t="s">
        <v>1390</v>
      </c>
      <c r="B6" s="110"/>
      <c r="C6" s="110"/>
      <c r="D6" s="110"/>
      <c r="E6" s="110"/>
      <c r="F6" s="110"/>
      <c r="G6" s="110"/>
    </row>
    <row r="7" spans="1:7" ht="15.95" customHeight="1"/>
    <row r="8" spans="1:7" ht="15.95" customHeight="1">
      <c r="E8" s="1"/>
    </row>
    <row r="9" spans="1:7" ht="15.95" customHeight="1">
      <c r="E9" s="1"/>
    </row>
    <row r="10" spans="1:7" ht="15.95" customHeight="1"/>
    <row r="11" spans="1:7" ht="15.95" customHeight="1"/>
    <row r="12" spans="1:7" ht="15.95" customHeight="1"/>
    <row r="13" spans="1:7" ht="15.95" customHeight="1"/>
    <row r="14" spans="1:7" ht="15.95" customHeight="1"/>
    <row r="15" spans="1:7" ht="15.95" customHeight="1"/>
    <row r="16" spans="1:7" ht="15.95" customHeight="1"/>
    <row r="17" spans="1:7" ht="18.75">
      <c r="A17" s="203" t="s">
        <v>1391</v>
      </c>
    </row>
    <row r="18" spans="1:7">
      <c r="A18" s="204" t="s">
        <v>1237</v>
      </c>
    </row>
    <row r="19" spans="1:7">
      <c r="B19" s="2" t="s">
        <v>312</v>
      </c>
      <c r="C19" s="2" t="s">
        <v>312</v>
      </c>
      <c r="D19" s="2" t="s">
        <v>312</v>
      </c>
      <c r="E19" s="2" t="s">
        <v>312</v>
      </c>
      <c r="F19" s="2" t="s">
        <v>312</v>
      </c>
    </row>
    <row r="20" spans="1:7" ht="45">
      <c r="A20" s="205" t="s">
        <v>1238</v>
      </c>
      <c r="B20" s="206" t="s">
        <v>319</v>
      </c>
      <c r="C20" s="215" t="s">
        <v>4358</v>
      </c>
      <c r="D20" s="216" t="s">
        <v>1392</v>
      </c>
      <c r="E20" s="216" t="s">
        <v>1393</v>
      </c>
      <c r="F20" s="216" t="s">
        <v>1394</v>
      </c>
      <c r="G20" s="206" t="s">
        <v>322</v>
      </c>
    </row>
    <row r="21" spans="1:7" ht="15">
      <c r="A21" s="207">
        <v>1</v>
      </c>
      <c r="B21" s="147" t="s">
        <v>1395</v>
      </c>
      <c r="C21" s="147" t="s">
        <v>1514</v>
      </c>
      <c r="D21" s="253">
        <v>10000</v>
      </c>
      <c r="E21" s="253">
        <v>49</v>
      </c>
      <c r="F21" s="254">
        <v>5</v>
      </c>
      <c r="G21" s="240">
        <f>IFERROR((D21*E21*F21*VLOOKUP(C21,'Commute Calcs'!$K$7:$N$57,4,FALSE)/1000),"")</f>
        <v>9139.5156247907435</v>
      </c>
    </row>
    <row r="22" spans="1:7" ht="15">
      <c r="A22" s="207">
        <v>2</v>
      </c>
      <c r="B22" s="157"/>
      <c r="C22" s="157"/>
      <c r="D22" s="167"/>
      <c r="E22" s="167"/>
      <c r="F22" s="255"/>
      <c r="G22" s="217" t="str">
        <f>IFERROR((D22*E22*F22*VLOOKUP(C22,'Commute Calcs'!$K$7:$N$57,4,FALSE)/1000),"")</f>
        <v/>
      </c>
    </row>
    <row r="23" spans="1:7" ht="15">
      <c r="A23" s="207">
        <v>3</v>
      </c>
      <c r="B23" s="157"/>
      <c r="C23" s="157"/>
      <c r="D23" s="167"/>
      <c r="E23" s="167"/>
      <c r="F23" s="255"/>
      <c r="G23" s="217" t="str">
        <f>IFERROR((D23*E23*F23*VLOOKUP(C23,'Commute Calcs'!$K$7:$N$57,4,FALSE)/1000),"")</f>
        <v/>
      </c>
    </row>
    <row r="24" spans="1:7" ht="15">
      <c r="A24" s="207">
        <v>4</v>
      </c>
      <c r="B24" s="157"/>
      <c r="C24" s="157"/>
      <c r="D24" s="167"/>
      <c r="E24" s="167"/>
      <c r="F24" s="255"/>
      <c r="G24" s="217" t="str">
        <f>IFERROR((D24*E24*F24*VLOOKUP(C24,'Commute Calcs'!$K$7:$N$57,4,FALSE)/1000),"")</f>
        <v/>
      </c>
    </row>
    <row r="25" spans="1:7" ht="15">
      <c r="A25" s="207">
        <v>5</v>
      </c>
      <c r="B25" s="157"/>
      <c r="C25" s="157"/>
      <c r="D25" s="167"/>
      <c r="E25" s="167"/>
      <c r="F25" s="255"/>
      <c r="G25" s="217" t="str">
        <f>IFERROR((D25*E25*F25*VLOOKUP(C25,'Commute Calcs'!$K$7:$N$57,4,FALSE)/1000),"")</f>
        <v/>
      </c>
    </row>
    <row r="26" spans="1:7" ht="15">
      <c r="A26" s="207">
        <v>6</v>
      </c>
      <c r="B26" s="157"/>
      <c r="C26" s="157"/>
      <c r="D26" s="167"/>
      <c r="E26" s="167"/>
      <c r="F26" s="255"/>
      <c r="G26" s="217" t="str">
        <f>IFERROR((D26*E26*F26*VLOOKUP(C26,'Commute Calcs'!$K$7:$N$57,4,FALSE)/1000),"")</f>
        <v/>
      </c>
    </row>
    <row r="27" spans="1:7" ht="15">
      <c r="A27" s="207">
        <v>7</v>
      </c>
      <c r="B27" s="157"/>
      <c r="C27" s="157"/>
      <c r="D27" s="167"/>
      <c r="E27" s="167"/>
      <c r="F27" s="255"/>
      <c r="G27" s="217" t="str">
        <f>IFERROR((D27*E27*F27*VLOOKUP(C27,'Commute Calcs'!$K$7:$N$57,4,FALSE)/1000),"")</f>
        <v/>
      </c>
    </row>
    <row r="28" spans="1:7" ht="15">
      <c r="A28" s="207">
        <v>8</v>
      </c>
      <c r="B28" s="157"/>
      <c r="C28" s="157"/>
      <c r="D28" s="167"/>
      <c r="E28" s="167"/>
      <c r="F28" s="255"/>
      <c r="G28" s="217" t="str">
        <f>IFERROR((D28*E28*F28*VLOOKUP(C28,'Commute Calcs'!$K$7:$N$57,4,FALSE)/1000),"")</f>
        <v/>
      </c>
    </row>
    <row r="29" spans="1:7" ht="15">
      <c r="A29" s="207">
        <v>9</v>
      </c>
      <c r="B29" s="157"/>
      <c r="C29" s="157"/>
      <c r="D29" s="167"/>
      <c r="E29" s="167"/>
      <c r="F29" s="255"/>
      <c r="G29" s="217" t="str">
        <f>IFERROR((D29*E29*F29*VLOOKUP(C29,'Commute Calcs'!$K$7:$N$57,4,FALSE)/1000),"")</f>
        <v/>
      </c>
    </row>
    <row r="30" spans="1:7" ht="15">
      <c r="A30" s="207">
        <v>10</v>
      </c>
      <c r="B30" s="157"/>
      <c r="C30" s="157"/>
      <c r="D30" s="167"/>
      <c r="E30" s="167"/>
      <c r="F30" s="255"/>
      <c r="G30" s="217" t="str">
        <f>IFERROR((D30*E30*F30*VLOOKUP(C30,'Commute Calcs'!$K$7:$N$57,4,FALSE)/1000),"")</f>
        <v/>
      </c>
    </row>
    <row r="31" spans="1:7" ht="15">
      <c r="A31" s="207">
        <v>11</v>
      </c>
      <c r="B31" s="157"/>
      <c r="C31" s="157"/>
      <c r="D31" s="167"/>
      <c r="E31" s="167"/>
      <c r="F31" s="255"/>
      <c r="G31" s="217" t="str">
        <f>IFERROR((D31*E31*F31*VLOOKUP(C31,'Commute Calcs'!$K$7:$N$57,4,FALSE)/1000),"")</f>
        <v/>
      </c>
    </row>
    <row r="32" spans="1:7" ht="15">
      <c r="A32" s="207">
        <v>12</v>
      </c>
      <c r="B32" s="157"/>
      <c r="C32" s="157"/>
      <c r="D32" s="167"/>
      <c r="E32" s="167"/>
      <c r="F32" s="255"/>
      <c r="G32" s="217" t="str">
        <f>IFERROR((D32*E32*F32*VLOOKUP(C32,'Commute Calcs'!$K$7:$N$57,4,FALSE)/1000),"")</f>
        <v/>
      </c>
    </row>
    <row r="33" spans="1:8" ht="15">
      <c r="A33" s="207">
        <v>13</v>
      </c>
      <c r="B33" s="157"/>
      <c r="C33" s="157"/>
      <c r="D33" s="167"/>
      <c r="E33" s="167"/>
      <c r="F33" s="255"/>
      <c r="G33" s="217" t="str">
        <f>IFERROR((D33*E33*F33*VLOOKUP(C33,'Commute Calcs'!$K$7:$N$57,4,FALSE)/1000),"")</f>
        <v/>
      </c>
    </row>
    <row r="34" spans="1:8" ht="15">
      <c r="A34" s="207">
        <v>14</v>
      </c>
      <c r="B34" s="157"/>
      <c r="C34" s="157"/>
      <c r="D34" s="167"/>
      <c r="E34" s="167"/>
      <c r="F34" s="255"/>
      <c r="G34" s="217" t="str">
        <f>IFERROR((D34*E34*F34*VLOOKUP(C34,'Commute Calcs'!$K$7:$N$57,4,FALSE)/1000),"")</f>
        <v/>
      </c>
    </row>
    <row r="35" spans="1:8" ht="15">
      <c r="A35" s="207">
        <v>15</v>
      </c>
      <c r="B35" s="157"/>
      <c r="C35" s="157"/>
      <c r="D35" s="167"/>
      <c r="E35" s="167"/>
      <c r="F35" s="255"/>
      <c r="G35" s="217" t="str">
        <f>IFERROR((D35*E35*F35*VLOOKUP(C35,'Commute Calcs'!$K$7:$N$57,4,FALSE)/1000),"")</f>
        <v/>
      </c>
    </row>
    <row r="36" spans="1:8" ht="15">
      <c r="A36" s="207">
        <v>16</v>
      </c>
      <c r="B36" s="157"/>
      <c r="C36" s="157"/>
      <c r="D36" s="167"/>
      <c r="E36" s="167"/>
      <c r="F36" s="255"/>
      <c r="G36" s="217" t="str">
        <f>IFERROR((D36*E36*F36*VLOOKUP(C36,'Commute Calcs'!$K$7:$N$57,4,FALSE)/1000),"")</f>
        <v/>
      </c>
    </row>
    <row r="37" spans="1:8" ht="15">
      <c r="A37" s="207">
        <v>17</v>
      </c>
      <c r="B37" s="157"/>
      <c r="C37" s="157"/>
      <c r="D37" s="167"/>
      <c r="E37" s="167"/>
      <c r="F37" s="255"/>
      <c r="G37" s="217" t="str">
        <f>IFERROR((D37*E37*F37*VLOOKUP(C37,'Commute Calcs'!$K$7:$N$57,4,FALSE)/1000),"")</f>
        <v/>
      </c>
    </row>
    <row r="38" spans="1:8" ht="15">
      <c r="A38" s="207">
        <v>18</v>
      </c>
      <c r="B38" s="157"/>
      <c r="C38" s="157"/>
      <c r="D38" s="167"/>
      <c r="E38" s="167"/>
      <c r="F38" s="255"/>
      <c r="G38" s="217" t="str">
        <f>IFERROR((D38*E38*F38*VLOOKUP(C38,'Commute Calcs'!$K$7:$N$57,4,FALSE)/1000),"")</f>
        <v/>
      </c>
    </row>
    <row r="39" spans="1:8" ht="15">
      <c r="A39" s="207">
        <v>19</v>
      </c>
      <c r="B39" s="157"/>
      <c r="C39" s="157"/>
      <c r="D39" s="167"/>
      <c r="E39" s="167"/>
      <c r="F39" s="255"/>
      <c r="G39" s="217" t="str">
        <f>IFERROR((D39*E39*F39*VLOOKUP(C39,'Commute Calcs'!$K$7:$N$57,4,FALSE)/1000),"")</f>
        <v/>
      </c>
    </row>
    <row r="40" spans="1:8" ht="15.75" thickBot="1">
      <c r="A40" s="207">
        <v>20</v>
      </c>
      <c r="B40" s="157"/>
      <c r="C40" s="157"/>
      <c r="D40" s="167"/>
      <c r="E40" s="167"/>
      <c r="F40" s="255"/>
      <c r="G40" s="217" t="str">
        <f>IFERROR((D40*E40*F40*VLOOKUP(C40,'Commute Calcs'!$K$7:$N$57,4,FALSE)/1000),"")</f>
        <v/>
      </c>
    </row>
    <row r="41" spans="1:8" ht="15" thickBot="1">
      <c r="F41" s="218" t="s">
        <v>1268</v>
      </c>
      <c r="G41" s="179">
        <f>SUM(G22:G40)</f>
        <v>0</v>
      </c>
    </row>
    <row r="42" spans="1:8" ht="19.5" thickBot="1">
      <c r="A42" s="203" t="s">
        <v>1397</v>
      </c>
      <c r="F42" s="256" t="s">
        <v>1268</v>
      </c>
      <c r="G42" s="257"/>
      <c r="H42" s="236" t="s">
        <v>4091</v>
      </c>
    </row>
    <row r="43" spans="1:8">
      <c r="A43" s="204" t="s">
        <v>1237</v>
      </c>
    </row>
    <row r="44" spans="1:8">
      <c r="B44" s="2" t="s">
        <v>312</v>
      </c>
      <c r="C44" s="2" t="s">
        <v>312</v>
      </c>
      <c r="D44" s="2" t="s">
        <v>312</v>
      </c>
      <c r="E44" s="2" t="s">
        <v>312</v>
      </c>
      <c r="F44" s="2" t="s">
        <v>312</v>
      </c>
    </row>
    <row r="45" spans="1:8" ht="45">
      <c r="A45" s="205" t="s">
        <v>1238</v>
      </c>
      <c r="B45" s="206" t="s">
        <v>319</v>
      </c>
      <c r="C45" s="215" t="s">
        <v>4358</v>
      </c>
      <c r="D45" s="216" t="s">
        <v>1398</v>
      </c>
      <c r="E45" s="216" t="s">
        <v>1393</v>
      </c>
      <c r="F45" s="215" t="s">
        <v>1399</v>
      </c>
      <c r="G45" s="206" t="s">
        <v>322</v>
      </c>
    </row>
    <row r="46" spans="1:8" ht="15">
      <c r="A46" s="207">
        <v>1</v>
      </c>
      <c r="B46" s="147" t="s">
        <v>1400</v>
      </c>
      <c r="C46" s="147" t="s">
        <v>1401</v>
      </c>
      <c r="D46" s="253">
        <v>5000</v>
      </c>
      <c r="E46" s="253">
        <v>49</v>
      </c>
      <c r="F46" s="254">
        <v>3</v>
      </c>
      <c r="G46" s="240">
        <f>IFERROR((D46*E46*F46*VLOOKUP(C46,'Commute Calcs'!$K$7:$N$57,4,FALSE)/1000),"")</f>
        <v>2842.9206853126525</v>
      </c>
    </row>
    <row r="47" spans="1:8" ht="15">
      <c r="A47" s="207">
        <v>2</v>
      </c>
      <c r="B47" s="157"/>
      <c r="C47" s="157"/>
      <c r="D47" s="167"/>
      <c r="E47" s="167"/>
      <c r="F47" s="255"/>
      <c r="G47" s="217" t="str">
        <f>IFERROR((D47*E47*F47*VLOOKUP(C47,'Commute Calcs'!$K$7:$N$57,4,FALSE)/1000),"")</f>
        <v/>
      </c>
    </row>
    <row r="48" spans="1:8" ht="15">
      <c r="A48" s="207">
        <v>3</v>
      </c>
      <c r="B48" s="157"/>
      <c r="C48" s="157"/>
      <c r="D48" s="258"/>
      <c r="E48" s="258"/>
      <c r="F48" s="157"/>
      <c r="G48" s="217" t="str">
        <f>IFERROR((D48*E48*F48*VLOOKUP(C48,'Commute Calcs'!$K$7:$N$57,4,FALSE)/1000),"")</f>
        <v/>
      </c>
    </row>
    <row r="49" spans="1:7" ht="15">
      <c r="A49" s="207">
        <v>4</v>
      </c>
      <c r="B49" s="157"/>
      <c r="C49" s="157"/>
      <c r="D49" s="258"/>
      <c r="E49" s="258"/>
      <c r="F49" s="157"/>
      <c r="G49" s="217" t="str">
        <f>IFERROR((D49*E49*F49*VLOOKUP(C49,'Commute Calcs'!$K$7:$N$57,4,FALSE)/1000),"")</f>
        <v/>
      </c>
    </row>
    <row r="50" spans="1:7" ht="15">
      <c r="A50" s="207">
        <v>5</v>
      </c>
      <c r="B50" s="157"/>
      <c r="C50" s="157"/>
      <c r="D50" s="258"/>
      <c r="E50" s="258"/>
      <c r="F50" s="157"/>
      <c r="G50" s="217" t="str">
        <f>IFERROR((D50*E50*F50*VLOOKUP(C50,'Commute Calcs'!$K$7:$N$57,4,FALSE)/1000),"")</f>
        <v/>
      </c>
    </row>
    <row r="51" spans="1:7" ht="15">
      <c r="A51" s="207">
        <v>6</v>
      </c>
      <c r="B51" s="157"/>
      <c r="C51" s="157"/>
      <c r="D51" s="258"/>
      <c r="E51" s="258"/>
      <c r="F51" s="157"/>
      <c r="G51" s="217" t="str">
        <f>IFERROR((D51*E51*F51*VLOOKUP(C51,'Commute Calcs'!$K$7:$N$57,4,FALSE)/1000),"")</f>
        <v/>
      </c>
    </row>
    <row r="52" spans="1:7" ht="15">
      <c r="A52" s="207">
        <v>7</v>
      </c>
      <c r="B52" s="157"/>
      <c r="C52" s="157"/>
      <c r="D52" s="258"/>
      <c r="E52" s="258"/>
      <c r="F52" s="157"/>
      <c r="G52" s="217" t="str">
        <f>IFERROR((D52*E52*F52*VLOOKUP(C52,'Commute Calcs'!$K$7:$N$57,4,FALSE)/1000),"")</f>
        <v/>
      </c>
    </row>
    <row r="53" spans="1:7" ht="15">
      <c r="A53" s="207">
        <v>8</v>
      </c>
      <c r="B53" s="157"/>
      <c r="C53" s="157"/>
      <c r="D53" s="258"/>
      <c r="E53" s="258"/>
      <c r="F53" s="157"/>
      <c r="G53" s="217" t="str">
        <f>IFERROR((D53*E53*F53*VLOOKUP(C53,'Commute Calcs'!$K$7:$N$57,4,FALSE)/1000),"")</f>
        <v/>
      </c>
    </row>
    <row r="54" spans="1:7" ht="15">
      <c r="A54" s="207">
        <v>9</v>
      </c>
      <c r="B54" s="157"/>
      <c r="C54" s="157"/>
      <c r="D54" s="258"/>
      <c r="E54" s="258"/>
      <c r="F54" s="157"/>
      <c r="G54" s="217" t="str">
        <f>IFERROR((D54*E54*F54*VLOOKUP(C54,'Commute Calcs'!$K$7:$N$57,4,FALSE)/1000),"")</f>
        <v/>
      </c>
    </row>
    <row r="55" spans="1:7" ht="15">
      <c r="A55" s="207">
        <v>10</v>
      </c>
      <c r="B55" s="157"/>
      <c r="C55" s="157"/>
      <c r="D55" s="258"/>
      <c r="E55" s="258"/>
      <c r="F55" s="157"/>
      <c r="G55" s="217" t="str">
        <f>IFERROR((D55*E55*F55*VLOOKUP(C55,'Commute Calcs'!$K$7:$N$57,4,FALSE)/1000),"")</f>
        <v/>
      </c>
    </row>
    <row r="56" spans="1:7" ht="15">
      <c r="A56" s="207">
        <v>11</v>
      </c>
      <c r="B56" s="157"/>
      <c r="C56" s="157"/>
      <c r="D56" s="258"/>
      <c r="E56" s="258"/>
      <c r="F56" s="157"/>
      <c r="G56" s="217" t="str">
        <f>IFERROR((D56*E56*F56*VLOOKUP(C56,'Commute Calcs'!$K$7:$N$57,4,FALSE)/1000),"")</f>
        <v/>
      </c>
    </row>
    <row r="57" spans="1:7" ht="15">
      <c r="A57" s="207">
        <v>12</v>
      </c>
      <c r="B57" s="157"/>
      <c r="C57" s="157"/>
      <c r="D57" s="258"/>
      <c r="E57" s="258"/>
      <c r="F57" s="157"/>
      <c r="G57" s="217" t="str">
        <f>IFERROR((D57*E57*F57*VLOOKUP(C57,'Commute Calcs'!$K$7:$N$57,4,FALSE)/1000),"")</f>
        <v/>
      </c>
    </row>
    <row r="58" spans="1:7" ht="15">
      <c r="A58" s="207">
        <v>13</v>
      </c>
      <c r="B58" s="157"/>
      <c r="C58" s="157"/>
      <c r="D58" s="258"/>
      <c r="E58" s="258"/>
      <c r="F58" s="157"/>
      <c r="G58" s="217" t="str">
        <f>IFERROR((D58*E58*F58*VLOOKUP(C58,'Commute Calcs'!$K$7:$N$57,4,FALSE)/1000),"")</f>
        <v/>
      </c>
    </row>
    <row r="59" spans="1:7" ht="15">
      <c r="A59" s="207">
        <v>14</v>
      </c>
      <c r="B59" s="157"/>
      <c r="C59" s="157"/>
      <c r="D59" s="258"/>
      <c r="E59" s="258"/>
      <c r="F59" s="157"/>
      <c r="G59" s="217" t="str">
        <f>IFERROR((D59*E59*F59*VLOOKUP(C59,'Commute Calcs'!$K$7:$N$57,4,FALSE)/1000),"")</f>
        <v/>
      </c>
    </row>
    <row r="60" spans="1:7" ht="15">
      <c r="A60" s="207">
        <v>15</v>
      </c>
      <c r="B60" s="157"/>
      <c r="C60" s="157"/>
      <c r="D60" s="258"/>
      <c r="E60" s="258"/>
      <c r="F60" s="157"/>
      <c r="G60" s="217" t="str">
        <f>IFERROR((D60*E60*F60*VLOOKUP(C60,'Commute Calcs'!$K$7:$N$57,4,FALSE)/1000),"")</f>
        <v/>
      </c>
    </row>
    <row r="61" spans="1:7" ht="15">
      <c r="A61" s="207">
        <v>16</v>
      </c>
      <c r="B61" s="157"/>
      <c r="C61" s="157"/>
      <c r="D61" s="167"/>
      <c r="E61" s="167"/>
      <c r="F61" s="255"/>
      <c r="G61" s="217" t="str">
        <f>IFERROR((D61*E61*F61*VLOOKUP(C61,'Commute Calcs'!$K$7:$N$57,4,FALSE)/1000),"")</f>
        <v/>
      </c>
    </row>
    <row r="62" spans="1:7" ht="15">
      <c r="A62" s="207">
        <v>17</v>
      </c>
      <c r="B62" s="157"/>
      <c r="C62" s="157"/>
      <c r="D62" s="167"/>
      <c r="E62" s="167"/>
      <c r="F62" s="255"/>
      <c r="G62" s="217" t="str">
        <f>IFERROR((D62*E62*F62*VLOOKUP(C62,'Commute Calcs'!$K$7:$N$57,4,FALSE)/1000),"")</f>
        <v/>
      </c>
    </row>
    <row r="63" spans="1:7" ht="15">
      <c r="A63" s="207">
        <v>18</v>
      </c>
      <c r="B63" s="157"/>
      <c r="C63" s="157"/>
      <c r="D63" s="167"/>
      <c r="E63" s="167"/>
      <c r="F63" s="255"/>
      <c r="G63" s="217" t="str">
        <f>IFERROR((D63*E63*F63*VLOOKUP(C63,'Commute Calcs'!$K$7:$N$57,4,FALSE)/1000),"")</f>
        <v/>
      </c>
    </row>
    <row r="64" spans="1:7" ht="15">
      <c r="A64" s="207">
        <v>19</v>
      </c>
      <c r="B64" s="157"/>
      <c r="C64" s="157"/>
      <c r="D64" s="167"/>
      <c r="E64" s="167"/>
      <c r="F64" s="255"/>
      <c r="G64" s="217" t="str">
        <f>IFERROR((D64*E64*F64*VLOOKUP(C64,'Commute Calcs'!$K$7:$N$57,4,FALSE)/1000),"")</f>
        <v/>
      </c>
    </row>
    <row r="65" spans="1:8" ht="15.75" thickBot="1">
      <c r="A65" s="207">
        <v>20</v>
      </c>
      <c r="B65" s="157"/>
      <c r="C65" s="157"/>
      <c r="D65" s="167"/>
      <c r="E65" s="167"/>
      <c r="F65" s="255"/>
      <c r="G65" s="217" t="str">
        <f>IFERROR((D65*E65*F65*VLOOKUP(C65,'Commute Calcs'!$K$7:$N$57,4,FALSE)/1000),"")</f>
        <v/>
      </c>
    </row>
    <row r="66" spans="1:8" ht="15" thickBot="1">
      <c r="F66" s="218" t="s">
        <v>1268</v>
      </c>
      <c r="G66" s="179">
        <f>SUM(G47:G65)</f>
        <v>0</v>
      </c>
    </row>
    <row r="67" spans="1:8" ht="15" thickBot="1">
      <c r="F67" s="256" t="s">
        <v>1268</v>
      </c>
      <c r="G67" s="257"/>
      <c r="H67" s="236" t="s">
        <v>4091</v>
      </c>
    </row>
    <row r="69" spans="1:8">
      <c r="A69" s="259"/>
    </row>
    <row r="70" spans="1:8" ht="18.75">
      <c r="A70" s="203" t="s">
        <v>1402</v>
      </c>
    </row>
    <row r="71" spans="1:8">
      <c r="A71" s="204" t="s">
        <v>1237</v>
      </c>
    </row>
    <row r="72" spans="1:8">
      <c r="B72" s="2" t="s">
        <v>312</v>
      </c>
      <c r="C72" s="2" t="s">
        <v>312</v>
      </c>
      <c r="D72" s="2" t="s">
        <v>312</v>
      </c>
      <c r="E72" s="2" t="s">
        <v>312</v>
      </c>
    </row>
    <row r="73" spans="1:8" ht="45">
      <c r="A73" s="205" t="s">
        <v>1238</v>
      </c>
      <c r="B73" s="206" t="s">
        <v>1300</v>
      </c>
      <c r="C73" s="215" t="s">
        <v>4358</v>
      </c>
      <c r="D73" s="216" t="s">
        <v>1403</v>
      </c>
      <c r="E73" s="216" t="s">
        <v>3996</v>
      </c>
      <c r="F73" s="205" t="s">
        <v>322</v>
      </c>
    </row>
    <row r="74" spans="1:8" ht="15">
      <c r="A74" s="207">
        <v>1</v>
      </c>
      <c r="B74" s="147" t="s">
        <v>1404</v>
      </c>
      <c r="C74" s="147" t="s">
        <v>1396</v>
      </c>
      <c r="D74" s="254">
        <v>400</v>
      </c>
      <c r="E74" s="254">
        <f>48*5</f>
        <v>240</v>
      </c>
      <c r="F74" s="926">
        <f>IFERROR(D74*E74*8*150/1000*VLOOKUP(C74,'State eGrid factors'!E:M,9,FALSE)+N("staff count x days WFH per year x 8 hrs per day x 150 Watts / 1000 to convert to kWh  x State-based eGRID24 factors converted to MT/kWh"),"")</f>
        <v>54.181581447168</v>
      </c>
    </row>
    <row r="75" spans="1:8" ht="15">
      <c r="A75" s="207">
        <v>2</v>
      </c>
      <c r="B75" s="157"/>
      <c r="C75" s="150"/>
      <c r="D75" s="159"/>
      <c r="E75" s="255"/>
      <c r="F75" s="827" t="str">
        <f>IFERROR(D75*E75*8*150/1000*VLOOKUP(C75,'State eGrid factors'!E:M,9,FALSE)+N("staff count x days WFH per year x 8 hrs per day x 150 Watts / 1000 to convert to kWh  x State-based eGRID24 factors converted to MT/kWh"),"")</f>
        <v/>
      </c>
    </row>
    <row r="76" spans="1:8" ht="15">
      <c r="A76" s="207">
        <v>3</v>
      </c>
      <c r="B76" s="157"/>
      <c r="C76" s="150"/>
      <c r="D76" s="211"/>
      <c r="E76" s="157"/>
      <c r="F76" s="827" t="str">
        <f>IFERROR(D76*E76*8*150/1000*VLOOKUP(C76,'State eGrid factors'!E:M,9,FALSE)+N("staff count x days WFH per year x 8 hrs per day x 150 Watts / 1000 to convert to kWh  x State-based eGRID24 factors converted to MT/kWh"),"")</f>
        <v/>
      </c>
    </row>
    <row r="77" spans="1:8" ht="15">
      <c r="A77" s="207">
        <v>4</v>
      </c>
      <c r="B77" s="157"/>
      <c r="C77" s="150"/>
      <c r="D77" s="211"/>
      <c r="E77" s="157"/>
      <c r="F77" s="827" t="str">
        <f>IFERROR(D77*E77*8*150/1000*VLOOKUP(C77,'State eGrid factors'!E:M,9,FALSE)+N("staff count x days WFH per year x 8 hrs per day x 150 Watts / 1000 to convert to kWh  x State-based eGRID24 factors converted to MT/kWh"),"")</f>
        <v/>
      </c>
    </row>
    <row r="78" spans="1:8" ht="15">
      <c r="A78" s="207">
        <v>5</v>
      </c>
      <c r="B78" s="157"/>
      <c r="C78" s="150"/>
      <c r="D78" s="211"/>
      <c r="E78" s="157"/>
      <c r="F78" s="827" t="str">
        <f>IFERROR(D78*E78*8*150/1000*VLOOKUP(C78,'State eGrid factors'!E:M,9,FALSE)+N("staff count x days WFH per year x 8 hrs per day x 150 Watts / 1000 to convert to kWh  x State-based eGRID24 factors converted to MT/kWh"),"")</f>
        <v/>
      </c>
    </row>
    <row r="79" spans="1:8" ht="15">
      <c r="A79" s="207">
        <v>6</v>
      </c>
      <c r="B79" s="157"/>
      <c r="C79" s="150"/>
      <c r="D79" s="211"/>
      <c r="E79" s="157"/>
      <c r="F79" s="827" t="str">
        <f>IFERROR(D79*E79*8*150/1000*VLOOKUP(C79,'State eGrid factors'!E:M,9,FALSE)+N("staff count x days WFH per year x 8 hrs per day x 150 Watts / 1000 to convert to kWh  x State-based eGRID24 factors converted to MT/kWh"),"")</f>
        <v/>
      </c>
    </row>
    <row r="80" spans="1:8" ht="15">
      <c r="A80" s="207">
        <v>7</v>
      </c>
      <c r="B80" s="157"/>
      <c r="C80" s="150"/>
      <c r="D80" s="211"/>
      <c r="E80" s="157"/>
      <c r="F80" s="827" t="str">
        <f>IFERROR(D80*E80*8*150/1000*VLOOKUP(C80,'State eGrid factors'!E:M,9,FALSE)+N("staff count x days WFH per year x 8 hrs per day x 150 Watts / 1000 to convert to kWh  x State-based eGRID24 factors converted to MT/kWh"),"")</f>
        <v/>
      </c>
    </row>
    <row r="81" spans="1:7" ht="15">
      <c r="A81" s="207">
        <v>8</v>
      </c>
      <c r="B81" s="157"/>
      <c r="C81" s="150"/>
      <c r="D81" s="211"/>
      <c r="E81" s="157"/>
      <c r="F81" s="827" t="str">
        <f>IFERROR(D81*E81*8*150/1000*VLOOKUP(C81,'State eGrid factors'!E:M,9,FALSE)+N("staff count x days WFH per year x 8 hrs per day x 150 Watts / 1000 to convert to kWh  x State-based eGRID24 factors converted to MT/kWh"),"")</f>
        <v/>
      </c>
    </row>
    <row r="82" spans="1:7" ht="15">
      <c r="A82" s="207">
        <v>9</v>
      </c>
      <c r="B82" s="157"/>
      <c r="C82" s="150"/>
      <c r="D82" s="211"/>
      <c r="E82" s="157"/>
      <c r="F82" s="827" t="str">
        <f>IFERROR(D82*E82*8*150/1000*VLOOKUP(C82,'State eGrid factors'!E:M,9,FALSE)+N("staff count x days WFH per year x 8 hrs per day x 150 Watts / 1000 to convert to kWh  x State-based eGRID24 factors converted to MT/kWh"),"")</f>
        <v/>
      </c>
    </row>
    <row r="83" spans="1:7" ht="15">
      <c r="A83" s="207">
        <v>10</v>
      </c>
      <c r="B83" s="157"/>
      <c r="C83" s="150"/>
      <c r="D83" s="211"/>
      <c r="E83" s="157"/>
      <c r="F83" s="827" t="str">
        <f>IFERROR(D83*E83*8*150/1000*VLOOKUP(C83,'State eGrid factors'!E:M,9,FALSE)+N("staff count x days WFH per year x 8 hrs per day x 150 Watts / 1000 to convert to kWh  x State-based eGRID24 factors converted to MT/kWh"),"")</f>
        <v/>
      </c>
    </row>
    <row r="84" spans="1:7" ht="15">
      <c r="A84" s="207">
        <v>11</v>
      </c>
      <c r="B84" s="157"/>
      <c r="C84" s="150"/>
      <c r="D84" s="211"/>
      <c r="E84" s="157"/>
      <c r="F84" s="827" t="str">
        <f>IFERROR(D84*E84*8*150/1000*VLOOKUP(C84,'State eGrid factors'!E:M,9,FALSE)+N("staff count x days WFH per year x 8 hrs per day x 150 Watts / 1000 to convert to kWh  x State-based eGRID24 factors converted to MT/kWh"),"")</f>
        <v/>
      </c>
    </row>
    <row r="85" spans="1:7" ht="15">
      <c r="A85" s="207">
        <v>12</v>
      </c>
      <c r="B85" s="157"/>
      <c r="C85" s="150"/>
      <c r="D85" s="211"/>
      <c r="E85" s="157"/>
      <c r="F85" s="827" t="str">
        <f>IFERROR(D85*E85*8*150/1000*VLOOKUP(C85,'State eGrid factors'!E:M,9,FALSE)+N("staff count x days WFH per year x 8 hrs per day x 150 Watts / 1000 to convert to kWh  x State-based eGRID24 factors converted to MT/kWh"),"")</f>
        <v/>
      </c>
    </row>
    <row r="86" spans="1:7" ht="15">
      <c r="A86" s="207">
        <v>13</v>
      </c>
      <c r="B86" s="157"/>
      <c r="C86" s="150"/>
      <c r="D86" s="211"/>
      <c r="E86" s="157"/>
      <c r="F86" s="827" t="str">
        <f>IFERROR(D86*E86*8*150/1000*VLOOKUP(C86,'State eGrid factors'!E:M,9,FALSE)+N("staff count x days WFH per year x 8 hrs per day x 150 Watts / 1000 to convert to kWh  x State-based eGRID24 factors converted to MT/kWh"),"")</f>
        <v/>
      </c>
    </row>
    <row r="87" spans="1:7" ht="15">
      <c r="A87" s="207">
        <v>14</v>
      </c>
      <c r="B87" s="157"/>
      <c r="C87" s="150"/>
      <c r="D87" s="211"/>
      <c r="E87" s="157"/>
      <c r="F87" s="827" t="str">
        <f>IFERROR(D87*E87*8*150/1000*VLOOKUP(C87,'State eGrid factors'!E:M,9,FALSE)+N("staff count x days WFH per year x 8 hrs per day x 150 Watts / 1000 to convert to kWh  x State-based eGRID24 factors converted to MT/kWh"),"")</f>
        <v/>
      </c>
    </row>
    <row r="88" spans="1:7" ht="15">
      <c r="A88" s="207">
        <v>15</v>
      </c>
      <c r="B88" s="157"/>
      <c r="C88" s="150"/>
      <c r="D88" s="211"/>
      <c r="E88" s="157"/>
      <c r="F88" s="827" t="str">
        <f>IFERROR(D88*E88*8*150/1000*VLOOKUP(C88,'State eGrid factors'!E:M,9,FALSE)+N("staff count x days WFH per year x 8 hrs per day x 150 Watts / 1000 to convert to kWh  x State-based eGRID24 factors converted to MT/kWh"),"")</f>
        <v/>
      </c>
    </row>
    <row r="89" spans="1:7" ht="15">
      <c r="A89" s="207">
        <v>16</v>
      </c>
      <c r="B89" s="157"/>
      <c r="C89" s="150"/>
      <c r="D89" s="211"/>
      <c r="E89" s="157"/>
      <c r="F89" s="827" t="str">
        <f>IFERROR(D89*E89*8*150/1000*VLOOKUP(C89,'State eGrid factors'!E:M,9,FALSE)+N("staff count x days WFH per year x 8 hrs per day x 150 Watts / 1000 to convert to kWh  x State-based eGRID24 factors converted to MT/kWh"),"")</f>
        <v/>
      </c>
    </row>
    <row r="90" spans="1:7" ht="15">
      <c r="A90" s="207">
        <v>17</v>
      </c>
      <c r="B90" s="157"/>
      <c r="C90" s="150"/>
      <c r="D90" s="211"/>
      <c r="E90" s="157"/>
      <c r="F90" s="827" t="str">
        <f>IFERROR(D90*E90*8*150/1000*VLOOKUP(C90,'State eGrid factors'!E:M,9,FALSE)+N("staff count x days WFH per year x 8 hrs per day x 150 Watts / 1000 to convert to kWh  x State-based eGRID24 factors converted to MT/kWh"),"")</f>
        <v/>
      </c>
    </row>
    <row r="91" spans="1:7" ht="15">
      <c r="A91" s="207">
        <v>18</v>
      </c>
      <c r="B91" s="157"/>
      <c r="C91" s="150"/>
      <c r="D91" s="211"/>
      <c r="E91" s="157"/>
      <c r="F91" s="827" t="str">
        <f>IFERROR(D91*E91*8*150/1000*VLOOKUP(C91,'State eGrid factors'!E:M,9,FALSE)+N("staff count x days WFH per year x 8 hrs per day x 150 Watts / 1000 to convert to kWh  x State-based eGRID24 factors converted to MT/kWh"),"")</f>
        <v/>
      </c>
    </row>
    <row r="92" spans="1:7" ht="15">
      <c r="A92" s="207">
        <v>19</v>
      </c>
      <c r="B92" s="157"/>
      <c r="C92" s="150"/>
      <c r="D92" s="211"/>
      <c r="E92" s="157"/>
      <c r="F92" s="827" t="str">
        <f>IFERROR(D92*E92*8*150/1000*VLOOKUP(C92,'State eGrid factors'!E:M,9,FALSE)+N("staff count x days WFH per year x 8 hrs per day x 150 Watts / 1000 to convert to kWh  x State-based eGRID24 factors converted to MT/kWh"),"")</f>
        <v/>
      </c>
    </row>
    <row r="93" spans="1:7" ht="15.75" thickBot="1">
      <c r="A93" s="207">
        <v>20</v>
      </c>
      <c r="B93" s="157"/>
      <c r="C93" s="150"/>
      <c r="D93" s="211"/>
      <c r="E93" s="157"/>
      <c r="F93" s="827" t="str">
        <f>IFERROR(D93*E93*8*150/1000*VLOOKUP(C93,'State eGrid factors'!E:M,9,FALSE)+N("staff count x days WFH per year x 8 hrs per day x 150 Watts / 1000 to convert to kWh  x State-based eGRID24 factors converted to MT/kWh"),"")</f>
        <v/>
      </c>
    </row>
    <row r="94" spans="1:7" ht="15" thickBot="1">
      <c r="D94" s="260"/>
      <c r="E94" s="218" t="s">
        <v>1268</v>
      </c>
      <c r="F94" s="179">
        <f>SUM(F75:F93)</f>
        <v>0</v>
      </c>
    </row>
    <row r="95" spans="1:7" ht="15" thickBot="1">
      <c r="E95" s="256" t="s">
        <v>1268</v>
      </c>
      <c r="F95" s="257"/>
      <c r="G95" s="236" t="s">
        <v>4091</v>
      </c>
    </row>
  </sheetData>
  <sheetProtection algorithmName="SHA-512" hashValue="E5GzpOA+/VNBLvuY4G3NC1TyHXaYnd8C0tfWRHvZmVLH8eiuIQ5NGKtTEAo8/5duaAxlPZlBZGXc55eN7XTmSA==" saltValue="fwfRbHK6LMVpBPCDyg9YEg==" spinCount="100000" sheet="1" objects="1" scenarios="1"/>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5017CF8-6C51-4187-8C0F-40EF72C6FDDB}">
          <x14:formula1>
            <xm:f>'Commute Calcs'!$K$7:$K$57</xm:f>
          </x14:formula1>
          <xm:sqref>C21:C40 C46:C65 C74:C93</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637AD-7BB2-4D8B-A6EF-A1F2441859A9}">
  <sheetPr codeName="Sheet31">
    <tabColor theme="3" tint="0.59999389629810485"/>
  </sheetPr>
  <dimension ref="A1:R131"/>
  <sheetViews>
    <sheetView showGridLines="0" zoomScale="85" zoomScaleNormal="85" workbookViewId="0"/>
  </sheetViews>
  <sheetFormatPr defaultColWidth="8.875" defaultRowHeight="14.25"/>
  <cols>
    <col min="1" max="1" width="7.875" style="30" customWidth="1"/>
    <col min="2" max="2" width="29.875" style="30" customWidth="1"/>
    <col min="3" max="3" width="23.25" style="30" customWidth="1"/>
    <col min="4" max="4" width="20.375" style="30" customWidth="1"/>
    <col min="5" max="5" width="16.75" style="30" customWidth="1"/>
    <col min="6" max="6" width="17.875" style="30" customWidth="1"/>
    <col min="7" max="7" width="20" style="30" customWidth="1"/>
    <col min="8" max="8" width="17.25" style="30" customWidth="1"/>
    <col min="9" max="9" width="16.75" style="30" customWidth="1"/>
    <col min="10" max="10" width="7.375" style="264" customWidth="1"/>
    <col min="11" max="11" width="8.875" style="30"/>
    <col min="12" max="12" width="28.5" style="30" customWidth="1"/>
    <col min="13" max="14" width="34.5" style="30" bestFit="1" customWidth="1"/>
    <col min="15" max="15" width="29" style="30" bestFit="1" customWidth="1"/>
    <col min="16" max="16" width="14.375" style="30" customWidth="1"/>
    <col min="17" max="17" width="16.75" style="30" customWidth="1"/>
    <col min="18" max="18" width="17.125" style="30" customWidth="1"/>
    <col min="19" max="16384" width="8.875" style="30"/>
  </cols>
  <sheetData>
    <row r="1" spans="1:8" ht="23.45" customHeight="1">
      <c r="A1" s="23" t="s">
        <v>1405</v>
      </c>
      <c r="B1" s="24"/>
      <c r="C1" s="24"/>
      <c r="D1" s="24"/>
      <c r="E1" s="24"/>
      <c r="F1" s="24"/>
      <c r="G1" s="24"/>
      <c r="H1" s="24"/>
    </row>
    <row r="2" spans="1:8">
      <c r="A2" s="261" t="s">
        <v>304</v>
      </c>
      <c r="B2" s="32"/>
      <c r="C2" s="32"/>
      <c r="D2" s="32"/>
      <c r="E2" s="32"/>
      <c r="F2" s="32"/>
      <c r="G2" s="32"/>
      <c r="H2" s="32"/>
    </row>
    <row r="3" spans="1:8">
      <c r="A3" s="38" t="s">
        <v>1366</v>
      </c>
      <c r="B3" s="32"/>
      <c r="C3" s="32"/>
      <c r="D3" s="32"/>
      <c r="E3" s="32"/>
      <c r="F3" s="32"/>
      <c r="G3" s="32"/>
      <c r="H3" s="32"/>
    </row>
    <row r="4" spans="1:8">
      <c r="A4" s="38" t="s">
        <v>1406</v>
      </c>
      <c r="B4" s="32"/>
      <c r="C4" s="32"/>
      <c r="D4" s="32"/>
      <c r="E4" s="32"/>
      <c r="F4" s="32"/>
      <c r="G4" s="32"/>
      <c r="H4" s="32"/>
    </row>
    <row r="5" spans="1:8">
      <c r="A5" s="38" t="s">
        <v>1407</v>
      </c>
      <c r="B5" s="32"/>
      <c r="C5" s="32"/>
      <c r="D5" s="32"/>
      <c r="E5" s="32"/>
      <c r="F5" s="32"/>
      <c r="G5" s="32"/>
      <c r="H5" s="32"/>
    </row>
    <row r="6" spans="1:8">
      <c r="A6" s="262" t="s">
        <v>306</v>
      </c>
      <c r="B6" s="32"/>
      <c r="C6" s="32"/>
      <c r="D6" s="32"/>
      <c r="E6" s="32"/>
      <c r="F6" s="32"/>
      <c r="G6" s="32"/>
      <c r="H6" s="32"/>
    </row>
    <row r="7" spans="1:8">
      <c r="A7" s="263" t="s">
        <v>1408</v>
      </c>
      <c r="B7" s="32"/>
      <c r="C7" s="32"/>
      <c r="D7" s="32"/>
      <c r="E7" s="32"/>
      <c r="F7" s="32"/>
      <c r="G7" s="32"/>
      <c r="H7" s="32"/>
    </row>
    <row r="8" spans="1:8">
      <c r="A8" s="263" t="s">
        <v>1409</v>
      </c>
      <c r="B8" s="32"/>
      <c r="C8" s="32"/>
      <c r="D8" s="32"/>
      <c r="E8" s="32"/>
      <c r="F8" s="32"/>
      <c r="G8" s="32"/>
      <c r="H8" s="32"/>
    </row>
    <row r="14" spans="1:8" ht="14.25" customHeight="1"/>
    <row r="15" spans="1:8" ht="14.25" customHeight="1"/>
    <row r="16" spans="1:8" ht="14.25" customHeight="1"/>
    <row r="17" spans="1:17" ht="14.25" customHeight="1"/>
    <row r="18" spans="1:17" ht="14.25" customHeight="1"/>
    <row r="19" spans="1:17" ht="27.95" customHeight="1"/>
    <row r="20" spans="1:17" ht="27.95" customHeight="1">
      <c r="K20" s="265"/>
    </row>
    <row r="21" spans="1:17" ht="27.95" customHeight="1">
      <c r="K21" s="825" t="s">
        <v>4058</v>
      </c>
    </row>
    <row r="23" spans="1:17" ht="18.75">
      <c r="A23" s="266" t="s">
        <v>1410</v>
      </c>
      <c r="K23" s="266" t="s">
        <v>1410</v>
      </c>
    </row>
    <row r="24" spans="1:17">
      <c r="A24" s="267" t="s">
        <v>1237</v>
      </c>
      <c r="J24" s="268"/>
      <c r="K24" s="267" t="s">
        <v>1237</v>
      </c>
    </row>
    <row r="25" spans="1:17" ht="9" customHeight="1">
      <c r="A25" s="267"/>
      <c r="J25" s="268"/>
      <c r="K25" s="267"/>
    </row>
    <row r="26" spans="1:17">
      <c r="B26" s="53" t="s">
        <v>312</v>
      </c>
      <c r="C26" s="53" t="s">
        <v>312</v>
      </c>
      <c r="D26" s="53" t="s">
        <v>312</v>
      </c>
      <c r="E26" s="269"/>
      <c r="F26" s="269"/>
      <c r="L26" s="53" t="s">
        <v>312</v>
      </c>
      <c r="M26" s="53" t="s">
        <v>312</v>
      </c>
      <c r="N26" s="53" t="s">
        <v>312</v>
      </c>
      <c r="O26" s="53" t="s">
        <v>312</v>
      </c>
      <c r="P26" s="269"/>
    </row>
    <row r="27" spans="1:17" ht="60">
      <c r="A27" s="270" t="s">
        <v>1238</v>
      </c>
      <c r="B27" s="271" t="s">
        <v>319</v>
      </c>
      <c r="C27" s="288" t="s">
        <v>1411</v>
      </c>
      <c r="D27" s="215" t="s">
        <v>4055</v>
      </c>
      <c r="E27" s="288" t="s">
        <v>1412</v>
      </c>
      <c r="F27" s="288" t="s">
        <v>1413</v>
      </c>
      <c r="G27" s="288" t="s">
        <v>4056</v>
      </c>
      <c r="H27" s="288" t="s">
        <v>4057</v>
      </c>
      <c r="K27" s="270" t="s">
        <v>1238</v>
      </c>
      <c r="L27" s="271" t="s">
        <v>319</v>
      </c>
      <c r="M27" s="215" t="s">
        <v>4055</v>
      </c>
      <c r="N27" s="270" t="s">
        <v>1412</v>
      </c>
      <c r="O27" s="270" t="s">
        <v>1413</v>
      </c>
      <c r="P27" s="288" t="s">
        <v>4056</v>
      </c>
      <c r="Q27" s="288" t="s">
        <v>4057</v>
      </c>
    </row>
    <row r="28" spans="1:17" ht="15">
      <c r="A28" s="272">
        <v>1</v>
      </c>
      <c r="B28" s="273" t="s">
        <v>1414</v>
      </c>
      <c r="C28" s="274">
        <v>3000</v>
      </c>
      <c r="D28" s="147" t="s">
        <v>1396</v>
      </c>
      <c r="E28" s="275">
        <f>IF(C28="","",C28*'CBECS IFs'!$C$8)</f>
        <v>86400</v>
      </c>
      <c r="F28" s="275">
        <f>IF(C28="","",C28*'CBECS IFs'!$D$18)</f>
        <v>2416.7528438469494</v>
      </c>
      <c r="G28" s="171">
        <f>IF(OR(D28="",E28=""),"",((E28*VLOOKUP(D28,'State eGrid factors'!$E:$M,9,FALSE))+(((E28/(1-EF!$E$34))*EF!$E$29)+(E28*EF!$H$3))/1000+N("electricity emissions + upstream losses on total generation + T&amp;D losses")))</f>
        <v>47.466606590230363</v>
      </c>
      <c r="H28" s="171">
        <f>IF(F28="","",(F28*('CBECS IFs'!$M$18+'CBECS IFs'!$O$24))/1000)</f>
        <v>15.096211837305795</v>
      </c>
      <c r="I28" s="923"/>
      <c r="K28" s="272">
        <v>1</v>
      </c>
      <c r="L28" s="273" t="s">
        <v>1414</v>
      </c>
      <c r="M28" s="147" t="s">
        <v>1396</v>
      </c>
      <c r="N28" s="274">
        <v>15000</v>
      </c>
      <c r="O28" s="274">
        <v>2600</v>
      </c>
      <c r="P28" s="171">
        <f>IF(OR(M28="",N28=""),"",((N28*VLOOKUP(M28,'State eGrid factors'!$E:$M,9,FALSE))+(((N28/(1-EF!$E$34))*EF!$E$29)+(N28*EF!$H$3))/1000+N("electricity emissions + upstream losses on total generation + T&amp;D losses")))</f>
        <v>8.2407303108038832</v>
      </c>
      <c r="Q28" s="171">
        <f>IF(O28="","",(O28*('CBECS IFs'!$M$18+'CBECS IFs'!$O$24))/1000)</f>
        <v>16.240862559415586</v>
      </c>
    </row>
    <row r="29" spans="1:17" ht="15">
      <c r="A29" s="272">
        <v>2</v>
      </c>
      <c r="B29" s="276"/>
      <c r="C29" s="277"/>
      <c r="D29" s="157"/>
      <c r="E29" s="278" t="str">
        <f>IF(C29="","",C29*'CBECS IFs'!$C$8)</f>
        <v/>
      </c>
      <c r="F29" s="278" t="str">
        <f>IF(C29="","",C29*'CBECS IFs'!$D$18)</f>
        <v/>
      </c>
      <c r="G29" s="172" t="str">
        <f>IF(OR(D29="",E29=""),"",((E29*VLOOKUP(D29,'State eGrid factors'!$E:$M,9,FALSE))+(((E29/(1-EF!$E$34))*EF!$E$29)+(E29*EF!$H$3))/1000+N("electricity emissions + upstream losses on total generation + T&amp;D losses")))</f>
        <v/>
      </c>
      <c r="H29" s="172" t="str">
        <f>IF(F29="","",(F29*('CBECS IFs'!$M$18+'CBECS IFs'!$O$24))/1000)</f>
        <v/>
      </c>
      <c r="K29" s="272">
        <v>2</v>
      </c>
      <c r="L29" s="276"/>
      <c r="M29" s="157"/>
      <c r="N29" s="277"/>
      <c r="O29" s="277"/>
      <c r="P29" s="172" t="str">
        <f>IF(OR(M29="",N29=""),"",((N29*VLOOKUP(M29,'State eGrid factors'!$E:$M,9,FALSE))+(((N29/(1-EF!$E$34))*EF!$E$29)+(N29*EF!$H$3))/1000+N("electricity emissions + upstream losses on total generation + T&amp;D losses")))</f>
        <v/>
      </c>
      <c r="Q29" s="172" t="str">
        <f>IF(O29="","",(O29*('CBECS IFs'!$M$18+'CBECS IFs'!$O$24))/1000)</f>
        <v/>
      </c>
    </row>
    <row r="30" spans="1:17" ht="15">
      <c r="A30" s="272">
        <v>3</v>
      </c>
      <c r="B30" s="276"/>
      <c r="C30" s="277"/>
      <c r="D30" s="157"/>
      <c r="E30" s="278" t="str">
        <f>IF(C30="","",C30*'CBECS IFs'!$C$8)</f>
        <v/>
      </c>
      <c r="F30" s="278" t="str">
        <f>IF(C30="","",C30*'CBECS IFs'!$D$18)</f>
        <v/>
      </c>
      <c r="G30" s="172" t="str">
        <f>IF(OR(D30="",E30=""),"",((E30*VLOOKUP(D30,'State eGrid factors'!$E:$M,9,FALSE))+(((E30/(1-EF!$E$34))*EF!$E$29)+(E30*EF!$H$3))/1000+N("electricity emissions + upstream losses on total generation + T&amp;D losses")))</f>
        <v/>
      </c>
      <c r="H30" s="172" t="str">
        <f>IF(F30="","",(F30*('CBECS IFs'!$M$18+'CBECS IFs'!$O$24))/1000)</f>
        <v/>
      </c>
      <c r="K30" s="272">
        <v>3</v>
      </c>
      <c r="L30" s="276"/>
      <c r="M30" s="157"/>
      <c r="N30" s="277"/>
      <c r="O30" s="277"/>
      <c r="P30" s="172" t="str">
        <f>IF(OR(M30="",N30=""),"",((N30*VLOOKUP(M30,'State eGrid factors'!$E:$M,9,FALSE))+(((N30/(1-EF!$E$34))*EF!$E$29)+(N30*EF!$H$3))/1000+N("electricity emissions + upstream losses on total generation + T&amp;D losses")))</f>
        <v/>
      </c>
      <c r="Q30" s="172" t="str">
        <f>IF(O30="","",(O30*('CBECS IFs'!$M$18+'CBECS IFs'!$O$24))/1000)</f>
        <v/>
      </c>
    </row>
    <row r="31" spans="1:17" ht="15">
      <c r="A31" s="272">
        <v>4</v>
      </c>
      <c r="B31" s="276"/>
      <c r="C31" s="277"/>
      <c r="D31" s="157"/>
      <c r="E31" s="278" t="str">
        <f>IF(C31="","",C31*'CBECS IFs'!$C$8)</f>
        <v/>
      </c>
      <c r="F31" s="278" t="str">
        <f>IF(C31="","",C31*'CBECS IFs'!$D$18)</f>
        <v/>
      </c>
      <c r="G31" s="172" t="str">
        <f>IF(OR(D31="",E31=""),"",((E31*VLOOKUP(D31,'State eGrid factors'!$E:$M,9,FALSE))+(((E31/(1-EF!$E$34))*EF!$E$29)+(E31*EF!$H$3))/1000+N("electricity emissions + upstream losses on total generation + T&amp;D losses")))</f>
        <v/>
      </c>
      <c r="H31" s="172" t="str">
        <f>IF(F31="","",(F31*('CBECS IFs'!$M$18+'CBECS IFs'!$O$24))/1000)</f>
        <v/>
      </c>
      <c r="K31" s="272">
        <v>4</v>
      </c>
      <c r="L31" s="276"/>
      <c r="M31" s="157"/>
      <c r="N31" s="277"/>
      <c r="O31" s="277"/>
      <c r="P31" s="172" t="str">
        <f>IF(OR(M31="",N31=""),"",((N31*VLOOKUP(M31,'State eGrid factors'!$E:$M,9,FALSE))+(((N31/(1-EF!$E$34))*EF!$E$29)+(N31*EF!$H$3))/1000+N("electricity emissions + upstream losses on total generation + T&amp;D losses")))</f>
        <v/>
      </c>
      <c r="Q31" s="172" t="str">
        <f>IF(O31="","",(O31*('CBECS IFs'!$M$18+'CBECS IFs'!$O$24))/1000)</f>
        <v/>
      </c>
    </row>
    <row r="32" spans="1:17" ht="15">
      <c r="A32" s="272">
        <v>5</v>
      </c>
      <c r="B32" s="276"/>
      <c r="C32" s="277"/>
      <c r="D32" s="157"/>
      <c r="E32" s="278" t="str">
        <f>IF(C32="","",C32*'CBECS IFs'!$C$8)</f>
        <v/>
      </c>
      <c r="F32" s="278" t="str">
        <f>IF(C32="","",C32*'CBECS IFs'!$D$18)</f>
        <v/>
      </c>
      <c r="G32" s="172" t="str">
        <f>IF(OR(D32="",E32=""),"",((E32*VLOOKUP(D32,'State eGrid factors'!$E:$M,9,FALSE))+(((E32/(1-EF!$E$34))*EF!$E$29)+(E32*EF!$H$3))/1000+N("electricity emissions + upstream losses on total generation + T&amp;D losses")))</f>
        <v/>
      </c>
      <c r="H32" s="172" t="str">
        <f>IF(F32="","",(F32*('CBECS IFs'!$M$18+'CBECS IFs'!$O$24))/1000)</f>
        <v/>
      </c>
      <c r="K32" s="272">
        <v>5</v>
      </c>
      <c r="L32" s="276"/>
      <c r="M32" s="157"/>
      <c r="N32" s="277"/>
      <c r="O32" s="277"/>
      <c r="P32" s="172" t="str">
        <f>IF(OR(M32="",N32=""),"",((N32*VLOOKUP(M32,'State eGrid factors'!$E:$M,9,FALSE))+(((N32/(1-EF!$E$34))*EF!$E$29)+(N32*EF!$H$3))/1000+N("electricity emissions + upstream losses on total generation + T&amp;D losses")))</f>
        <v/>
      </c>
      <c r="Q32" s="172" t="str">
        <f>IF(O32="","",(O32*('CBECS IFs'!$M$18+'CBECS IFs'!$O$24))/1000)</f>
        <v/>
      </c>
    </row>
    <row r="33" spans="1:17" ht="15">
      <c r="A33" s="272">
        <v>6</v>
      </c>
      <c r="B33" s="276"/>
      <c r="C33" s="277"/>
      <c r="D33" s="157"/>
      <c r="E33" s="278" t="str">
        <f>IF(C33="","",C33*'CBECS IFs'!$C$8)</f>
        <v/>
      </c>
      <c r="F33" s="278" t="str">
        <f>IF(C33="","",C33*'CBECS IFs'!$D$18)</f>
        <v/>
      </c>
      <c r="G33" s="172" t="str">
        <f>IF(OR(D33="",E33=""),"",((E33*VLOOKUP(D33,'State eGrid factors'!$E:$M,9,FALSE))+(((E33/(1-EF!$E$34))*EF!$E$29)+(E33*EF!$H$3))/1000+N("electricity emissions + upstream losses on total generation + T&amp;D losses")))</f>
        <v/>
      </c>
      <c r="H33" s="172" t="str">
        <f>IF(F33="","",(F33*('CBECS IFs'!$M$18+'CBECS IFs'!$O$24))/1000)</f>
        <v/>
      </c>
      <c r="K33" s="272">
        <v>6</v>
      </c>
      <c r="L33" s="276"/>
      <c r="M33" s="157"/>
      <c r="N33" s="277"/>
      <c r="O33" s="277"/>
      <c r="P33" s="172" t="str">
        <f>IF(OR(M33="",N33=""),"",((N33*VLOOKUP(M33,'State eGrid factors'!$E:$M,9,FALSE))+(((N33/(1-EF!$E$34))*EF!$E$29)+(N33*EF!$H$3))/1000+N("electricity emissions + upstream losses on total generation + T&amp;D losses")))</f>
        <v/>
      </c>
      <c r="Q33" s="172" t="str">
        <f>IF(O33="","",(O33*('CBECS IFs'!$M$18+'CBECS IFs'!$O$24))/1000)</f>
        <v/>
      </c>
    </row>
    <row r="34" spans="1:17" ht="15">
      <c r="A34" s="272">
        <v>7</v>
      </c>
      <c r="B34" s="276"/>
      <c r="C34" s="277"/>
      <c r="D34" s="157"/>
      <c r="E34" s="278" t="str">
        <f>IF(C34="","",C34*'CBECS IFs'!$C$8)</f>
        <v/>
      </c>
      <c r="F34" s="278" t="str">
        <f>IF(C34="","",C34*'CBECS IFs'!$D$18)</f>
        <v/>
      </c>
      <c r="G34" s="172" t="str">
        <f>IF(OR(D34="",E34=""),"",((E34*VLOOKUP(D34,'State eGrid factors'!$E:$M,9,FALSE))+(((E34/(1-EF!$E$34))*EF!$E$29)+(E34*EF!$H$3))/1000+N("electricity emissions + upstream losses on total generation + T&amp;D losses")))</f>
        <v/>
      </c>
      <c r="H34" s="172" t="str">
        <f>IF(F34="","",(F34*('CBECS IFs'!$M$18+'CBECS IFs'!$O$24))/1000)</f>
        <v/>
      </c>
      <c r="K34" s="272">
        <v>7</v>
      </c>
      <c r="L34" s="276"/>
      <c r="M34" s="157"/>
      <c r="N34" s="277"/>
      <c r="O34" s="277"/>
      <c r="P34" s="172" t="str">
        <f>IF(OR(M34="",N34=""),"",((N34*VLOOKUP(M34,'State eGrid factors'!$E:$M,9,FALSE))+(((N34/(1-EF!$E$34))*EF!$E$29)+(N34*EF!$H$3))/1000+N("electricity emissions + upstream losses on total generation + T&amp;D losses")))</f>
        <v/>
      </c>
      <c r="Q34" s="172" t="str">
        <f>IF(O34="","",(O34*('CBECS IFs'!$M$18+'CBECS IFs'!$O$24))/1000)</f>
        <v/>
      </c>
    </row>
    <row r="35" spans="1:17" ht="15">
      <c r="A35" s="272">
        <v>8</v>
      </c>
      <c r="B35" s="276"/>
      <c r="C35" s="277"/>
      <c r="D35" s="157"/>
      <c r="E35" s="278" t="str">
        <f>IF(C35="","",C35*'CBECS IFs'!$C$8)</f>
        <v/>
      </c>
      <c r="F35" s="278" t="str">
        <f>IF(C35="","",C35*'CBECS IFs'!$D$18)</f>
        <v/>
      </c>
      <c r="G35" s="172" t="str">
        <f>IF(OR(D35="",E35=""),"",((E35*VLOOKUP(D35,'State eGrid factors'!$E:$M,9,FALSE))+(((E35/(1-EF!$E$34))*EF!$E$29)+(E35*EF!$H$3))/1000+N("electricity emissions + upstream losses on total generation + T&amp;D losses")))</f>
        <v/>
      </c>
      <c r="H35" s="172" t="str">
        <f>IF(F35="","",(F35*('CBECS IFs'!$M$18+'CBECS IFs'!$O$24))/1000)</f>
        <v/>
      </c>
      <c r="K35" s="272">
        <v>8</v>
      </c>
      <c r="L35" s="276"/>
      <c r="M35" s="157"/>
      <c r="N35" s="277"/>
      <c r="O35" s="277"/>
      <c r="P35" s="172" t="str">
        <f>IF(OR(M35="",N35=""),"",((N35*VLOOKUP(M35,'State eGrid factors'!$E:$M,9,FALSE))+(((N35/(1-EF!$E$34))*EF!$E$29)+(N35*EF!$H$3))/1000+N("electricity emissions + upstream losses on total generation + T&amp;D losses")))</f>
        <v/>
      </c>
      <c r="Q35" s="172" t="str">
        <f>IF(O35="","",(O35*('CBECS IFs'!$M$18+'CBECS IFs'!$O$24))/1000)</f>
        <v/>
      </c>
    </row>
    <row r="36" spans="1:17" ht="15">
      <c r="A36" s="272">
        <v>9</v>
      </c>
      <c r="B36" s="276"/>
      <c r="C36" s="277"/>
      <c r="D36" s="157"/>
      <c r="E36" s="278" t="str">
        <f>IF(C36="","",C36*'CBECS IFs'!$C$8)</f>
        <v/>
      </c>
      <c r="F36" s="278" t="str">
        <f>IF(C36="","",C36*'CBECS IFs'!$D$18)</f>
        <v/>
      </c>
      <c r="G36" s="172" t="str">
        <f>IF(OR(D36="",E36=""),"",((E36*VLOOKUP(D36,'State eGrid factors'!$E:$M,9,FALSE))+(((E36/(1-EF!$E$34))*EF!$E$29)+(E36*EF!$H$3))/1000+N("electricity emissions + upstream losses on total generation + T&amp;D losses")))</f>
        <v/>
      </c>
      <c r="H36" s="172" t="str">
        <f>IF(F36="","",(F36*('CBECS IFs'!$M$18+'CBECS IFs'!$O$24))/1000)</f>
        <v/>
      </c>
      <c r="K36" s="272">
        <v>9</v>
      </c>
      <c r="L36" s="276"/>
      <c r="M36" s="157"/>
      <c r="N36" s="277"/>
      <c r="O36" s="277"/>
      <c r="P36" s="172" t="str">
        <f>IF(OR(M36="",N36=""),"",((N36*VLOOKUP(M36,'State eGrid factors'!$E:$M,9,FALSE))+(((N36/(1-EF!$E$34))*EF!$E$29)+(N36*EF!$H$3))/1000+N("electricity emissions + upstream losses on total generation + T&amp;D losses")))</f>
        <v/>
      </c>
      <c r="Q36" s="172" t="str">
        <f>IF(O36="","",(O36*('CBECS IFs'!$M$18+'CBECS IFs'!$O$24))/1000)</f>
        <v/>
      </c>
    </row>
    <row r="37" spans="1:17" ht="15">
      <c r="A37" s="272">
        <v>10</v>
      </c>
      <c r="B37" s="276"/>
      <c r="C37" s="277"/>
      <c r="D37" s="157"/>
      <c r="E37" s="278" t="str">
        <f>IF(C37="","",C37*'CBECS IFs'!$C$8)</f>
        <v/>
      </c>
      <c r="F37" s="278" t="str">
        <f>IF(C37="","",C37*'CBECS IFs'!$D$18)</f>
        <v/>
      </c>
      <c r="G37" s="172" t="str">
        <f>IF(OR(D37="",E37=""),"",((E37*VLOOKUP(D37,'State eGrid factors'!$E:$M,9,FALSE))+(((E37/(1-EF!$E$34))*EF!$E$29)+(E37*EF!$H$3))/1000+N("electricity emissions + upstream losses on total generation + T&amp;D losses")))</f>
        <v/>
      </c>
      <c r="H37" s="172" t="str">
        <f>IF(F37="","",(F37*('CBECS IFs'!$M$18+'CBECS IFs'!$O$24))/1000)</f>
        <v/>
      </c>
      <c r="K37" s="272">
        <v>10</v>
      </c>
      <c r="L37" s="276"/>
      <c r="M37" s="157"/>
      <c r="N37" s="277"/>
      <c r="O37" s="277"/>
      <c r="P37" s="172" t="str">
        <f>IF(OR(M37="",N37=""),"",((N37*VLOOKUP(M37,'State eGrid factors'!$E:$M,9,FALSE))+(((N37/(1-EF!$E$34))*EF!$E$29)+(N37*EF!$H$3))/1000+N("electricity emissions + upstream losses on total generation + T&amp;D losses")))</f>
        <v/>
      </c>
      <c r="Q37" s="172" t="str">
        <f>IF(O37="","",(O37*('CBECS IFs'!$M$18+'CBECS IFs'!$O$24))/1000)</f>
        <v/>
      </c>
    </row>
    <row r="38" spans="1:17" ht="15">
      <c r="A38" s="272">
        <v>11</v>
      </c>
      <c r="B38" s="276"/>
      <c r="C38" s="277"/>
      <c r="D38" s="157"/>
      <c r="E38" s="278" t="str">
        <f>IF(C38="","",C38*'CBECS IFs'!$C$8)</f>
        <v/>
      </c>
      <c r="F38" s="278" t="str">
        <f>IF(C38="","",C38*'CBECS IFs'!$D$18)</f>
        <v/>
      </c>
      <c r="G38" s="172" t="str">
        <f>IF(OR(D38="",E38=""),"",((E38*VLOOKUP(D38,'State eGrid factors'!$E:$M,9,FALSE))+(((E38/(1-EF!$E$34))*EF!$E$29)+(E38*EF!$H$3))/1000+N("electricity emissions + upstream losses on total generation + T&amp;D losses")))</f>
        <v/>
      </c>
      <c r="H38" s="172" t="str">
        <f>IF(F38="","",(F38*('CBECS IFs'!$M$18+'CBECS IFs'!$O$24))/1000)</f>
        <v/>
      </c>
      <c r="K38" s="272">
        <v>11</v>
      </c>
      <c r="L38" s="276"/>
      <c r="M38" s="157"/>
      <c r="N38" s="277"/>
      <c r="O38" s="277"/>
      <c r="P38" s="172" t="str">
        <f>IF(OR(M38="",N38=""),"",((N38*VLOOKUP(M38,'State eGrid factors'!$E:$M,9,FALSE))+(((N38/(1-EF!$E$34))*EF!$E$29)+(N38*EF!$H$3))/1000+N("electricity emissions + upstream losses on total generation + T&amp;D losses")))</f>
        <v/>
      </c>
      <c r="Q38" s="172" t="str">
        <f>IF(O38="","",(O38*('CBECS IFs'!$M$18+'CBECS IFs'!$O$24))/1000)</f>
        <v/>
      </c>
    </row>
    <row r="39" spans="1:17" ht="15">
      <c r="A39" s="272">
        <v>12</v>
      </c>
      <c r="B39" s="276"/>
      <c r="C39" s="277"/>
      <c r="D39" s="157"/>
      <c r="E39" s="278" t="str">
        <f>IF(C39="","",C39*'CBECS IFs'!$C$8)</f>
        <v/>
      </c>
      <c r="F39" s="278" t="str">
        <f>IF(C39="","",C39*'CBECS IFs'!$D$18)</f>
        <v/>
      </c>
      <c r="G39" s="172" t="str">
        <f>IF(OR(D39="",E39=""),"",((E39*VLOOKUP(D39,'State eGrid factors'!$E:$M,9,FALSE))+(((E39/(1-EF!$E$34))*EF!$E$29)+(E39*EF!$H$3))/1000+N("electricity emissions + upstream losses on total generation + T&amp;D losses")))</f>
        <v/>
      </c>
      <c r="H39" s="172" t="str">
        <f>IF(F39="","",(F39*('CBECS IFs'!$M$18+'CBECS IFs'!$O$24))/1000)</f>
        <v/>
      </c>
      <c r="K39" s="272">
        <v>12</v>
      </c>
      <c r="L39" s="276"/>
      <c r="M39" s="157"/>
      <c r="N39" s="277"/>
      <c r="O39" s="277"/>
      <c r="P39" s="172" t="str">
        <f>IF(OR(M39="",N39=""),"",((N39*VLOOKUP(M39,'State eGrid factors'!$E:$M,9,FALSE))+(((N39/(1-EF!$E$34))*EF!$E$29)+(N39*EF!$H$3))/1000+N("electricity emissions + upstream losses on total generation + T&amp;D losses")))</f>
        <v/>
      </c>
      <c r="Q39" s="172" t="str">
        <f>IF(O39="","",(O39*('CBECS IFs'!$M$18+'CBECS IFs'!$O$24))/1000)</f>
        <v/>
      </c>
    </row>
    <row r="40" spans="1:17" ht="15">
      <c r="A40" s="272">
        <v>13</v>
      </c>
      <c r="B40" s="276"/>
      <c r="C40" s="277"/>
      <c r="D40" s="157"/>
      <c r="E40" s="278" t="str">
        <f>IF(C40="","",C40*'CBECS IFs'!$C$8)</f>
        <v/>
      </c>
      <c r="F40" s="278" t="str">
        <f>IF(C40="","",C40*'CBECS IFs'!$D$18)</f>
        <v/>
      </c>
      <c r="G40" s="172" t="str">
        <f>IF(OR(D40="",E40=""),"",((E40*VLOOKUP(D40,'State eGrid factors'!$E:$M,9,FALSE))+(((E40/(1-EF!$E$34))*EF!$E$29)+(E40*EF!$H$3))/1000+N("electricity emissions + upstream losses on total generation + T&amp;D losses")))</f>
        <v/>
      </c>
      <c r="H40" s="172" t="str">
        <f>IF(F40="","",(F40*('CBECS IFs'!$M$18+'CBECS IFs'!$O$24))/1000)</f>
        <v/>
      </c>
      <c r="K40" s="272">
        <v>13</v>
      </c>
      <c r="L40" s="276"/>
      <c r="M40" s="157"/>
      <c r="N40" s="277"/>
      <c r="O40" s="277"/>
      <c r="P40" s="172" t="str">
        <f>IF(OR(M40="",N40=""),"",((N40*VLOOKUP(M40,'State eGrid factors'!$E:$M,9,FALSE))+(((N40/(1-EF!$E$34))*EF!$E$29)+(N40*EF!$H$3))/1000+N("electricity emissions + upstream losses on total generation + T&amp;D losses")))</f>
        <v/>
      </c>
      <c r="Q40" s="172" t="str">
        <f>IF(O40="","",(O40*('CBECS IFs'!$M$18+'CBECS IFs'!$O$24))/1000)</f>
        <v/>
      </c>
    </row>
    <row r="41" spans="1:17" ht="15">
      <c r="A41" s="272">
        <v>14</v>
      </c>
      <c r="B41" s="276"/>
      <c r="C41" s="277"/>
      <c r="D41" s="157"/>
      <c r="E41" s="278" t="str">
        <f>IF(C41="","",C41*'CBECS IFs'!$C$8)</f>
        <v/>
      </c>
      <c r="F41" s="278" t="str">
        <f>IF(C41="","",C41*'CBECS IFs'!$D$18)</f>
        <v/>
      </c>
      <c r="G41" s="172" t="str">
        <f>IF(OR(D41="",E41=""),"",((E41*VLOOKUP(D41,'State eGrid factors'!$E:$M,9,FALSE))+(((E41/(1-EF!$E$34))*EF!$E$29)+(E41*EF!$H$3))/1000+N("electricity emissions + upstream losses on total generation + T&amp;D losses")))</f>
        <v/>
      </c>
      <c r="H41" s="172" t="str">
        <f>IF(F41="","",(F41*('CBECS IFs'!$M$18+'CBECS IFs'!$O$24))/1000)</f>
        <v/>
      </c>
      <c r="K41" s="272">
        <v>14</v>
      </c>
      <c r="L41" s="276"/>
      <c r="M41" s="157"/>
      <c r="N41" s="277"/>
      <c r="O41" s="277"/>
      <c r="P41" s="172" t="str">
        <f>IF(OR(M41="",N41=""),"",((N41*VLOOKUP(M41,'State eGrid factors'!$E:$M,9,FALSE))+(((N41/(1-EF!$E$34))*EF!$E$29)+(N41*EF!$H$3))/1000+N("electricity emissions + upstream losses on total generation + T&amp;D losses")))</f>
        <v/>
      </c>
      <c r="Q41" s="172" t="str">
        <f>IF(O41="","",(O41*('CBECS IFs'!$M$18+'CBECS IFs'!$O$24))/1000)</f>
        <v/>
      </c>
    </row>
    <row r="42" spans="1:17" ht="15">
      <c r="A42" s="272">
        <v>15</v>
      </c>
      <c r="B42" s="276"/>
      <c r="C42" s="277"/>
      <c r="D42" s="157"/>
      <c r="E42" s="278" t="str">
        <f>IF(C42="","",C42*'CBECS IFs'!$C$8)</f>
        <v/>
      </c>
      <c r="F42" s="278" t="str">
        <f>IF(C42="","",C42*'CBECS IFs'!$D$18)</f>
        <v/>
      </c>
      <c r="G42" s="172" t="str">
        <f>IF(OR(D42="",E42=""),"",((E42*VLOOKUP(D42,'State eGrid factors'!$E:$M,9,FALSE))+(((E42/(1-EF!$E$34))*EF!$E$29)+(E42*EF!$H$3))/1000+N("electricity emissions + upstream losses on total generation + T&amp;D losses")))</f>
        <v/>
      </c>
      <c r="H42" s="172" t="str">
        <f>IF(F42="","",(F42*('CBECS IFs'!$M$18+'CBECS IFs'!$O$24))/1000)</f>
        <v/>
      </c>
      <c r="K42" s="272">
        <v>15</v>
      </c>
      <c r="L42" s="276"/>
      <c r="M42" s="157"/>
      <c r="N42" s="277"/>
      <c r="O42" s="277"/>
      <c r="P42" s="172" t="str">
        <f>IF(OR(M42="",N42=""),"",((N42*VLOOKUP(M42,'State eGrid factors'!$E:$M,9,FALSE))+(((N42/(1-EF!$E$34))*EF!$E$29)+(N42*EF!$H$3))/1000+N("electricity emissions + upstream losses on total generation + T&amp;D losses")))</f>
        <v/>
      </c>
      <c r="Q42" s="172" t="str">
        <f>IF(O42="","",(O42*('CBECS IFs'!$M$18+'CBECS IFs'!$O$24))/1000)</f>
        <v/>
      </c>
    </row>
    <row r="43" spans="1:17" ht="15">
      <c r="A43" s="272">
        <v>16</v>
      </c>
      <c r="B43" s="276"/>
      <c r="C43" s="277"/>
      <c r="D43" s="157"/>
      <c r="E43" s="278" t="str">
        <f>IF(C43="","",C43*'CBECS IFs'!$C$8)</f>
        <v/>
      </c>
      <c r="F43" s="278" t="str">
        <f>IF(C43="","",C43*'CBECS IFs'!$D$18)</f>
        <v/>
      </c>
      <c r="G43" s="172" t="str">
        <f>IF(OR(D43="",E43=""),"",((E43*VLOOKUP(D43,'State eGrid factors'!$E:$M,9,FALSE))+(((E43/(1-EF!$E$34))*EF!$E$29)+(E43*EF!$H$3))/1000+N("electricity emissions + upstream losses on total generation + T&amp;D losses")))</f>
        <v/>
      </c>
      <c r="H43" s="172" t="str">
        <f>IF(F43="","",(F43*('CBECS IFs'!$M$18+'CBECS IFs'!$O$24))/1000)</f>
        <v/>
      </c>
      <c r="K43" s="272">
        <v>16</v>
      </c>
      <c r="L43" s="276"/>
      <c r="M43" s="157"/>
      <c r="N43" s="277"/>
      <c r="O43" s="277"/>
      <c r="P43" s="172" t="str">
        <f>IF(OR(M43="",N43=""),"",((N43*VLOOKUP(M43,'State eGrid factors'!$E:$M,9,FALSE))+(((N43/(1-EF!$E$34))*EF!$E$29)+(N43*EF!$H$3))/1000+N("electricity emissions + upstream losses on total generation + T&amp;D losses")))</f>
        <v/>
      </c>
      <c r="Q43" s="172" t="str">
        <f>IF(O43="","",(O43*('CBECS IFs'!$M$18+'CBECS IFs'!$O$24))/1000)</f>
        <v/>
      </c>
    </row>
    <row r="44" spans="1:17" ht="15">
      <c r="A44" s="272">
        <v>17</v>
      </c>
      <c r="B44" s="276"/>
      <c r="C44" s="277"/>
      <c r="D44" s="157"/>
      <c r="E44" s="278" t="str">
        <f>IF(C44="","",C44*'CBECS IFs'!$C$8)</f>
        <v/>
      </c>
      <c r="F44" s="278" t="str">
        <f>IF(C44="","",C44*'CBECS IFs'!$D$18)</f>
        <v/>
      </c>
      <c r="G44" s="172" t="str">
        <f>IF(OR(D44="",E44=""),"",((E44*VLOOKUP(D44,'State eGrid factors'!$E:$M,9,FALSE))+(((E44/(1-EF!$E$34))*EF!$E$29)+(E44*EF!$H$3))/1000+N("electricity emissions + upstream losses on total generation + T&amp;D losses")))</f>
        <v/>
      </c>
      <c r="H44" s="172" t="str">
        <f>IF(F44="","",(F44*('CBECS IFs'!$M$18+'CBECS IFs'!$O$24))/1000)</f>
        <v/>
      </c>
      <c r="K44" s="272">
        <v>17</v>
      </c>
      <c r="L44" s="276"/>
      <c r="M44" s="157"/>
      <c r="N44" s="277"/>
      <c r="O44" s="277"/>
      <c r="P44" s="172" t="str">
        <f>IF(OR(M44="",N44=""),"",((N44*VLOOKUP(M44,'State eGrid factors'!$E:$M,9,FALSE))+(((N44/(1-EF!$E$34))*EF!$E$29)+(N44*EF!$H$3))/1000+N("electricity emissions + upstream losses on total generation + T&amp;D losses")))</f>
        <v/>
      </c>
      <c r="Q44" s="172" t="str">
        <f>IF(O44="","",(O44*('CBECS IFs'!$M$18+'CBECS IFs'!$O$24))/1000)</f>
        <v/>
      </c>
    </row>
    <row r="45" spans="1:17" ht="15">
      <c r="A45" s="272">
        <v>18</v>
      </c>
      <c r="B45" s="276"/>
      <c r="C45" s="277"/>
      <c r="D45" s="157"/>
      <c r="E45" s="278" t="str">
        <f>IF(C45="","",C45*'CBECS IFs'!$C$8)</f>
        <v/>
      </c>
      <c r="F45" s="278" t="str">
        <f>IF(C45="","",C45*'CBECS IFs'!$D$18)</f>
        <v/>
      </c>
      <c r="G45" s="172" t="str">
        <f>IF(OR(D45="",E45=""),"",((E45*VLOOKUP(D45,'State eGrid factors'!$E:$M,9,FALSE))+(((E45/(1-EF!$E$34))*EF!$E$29)+(E45*EF!$H$3))/1000+N("electricity emissions + upstream losses on total generation + T&amp;D losses")))</f>
        <v/>
      </c>
      <c r="H45" s="172" t="str">
        <f>IF(F45="","",(F45*('CBECS IFs'!$M$18+'CBECS IFs'!$O$24))/1000)</f>
        <v/>
      </c>
      <c r="K45" s="272">
        <v>18</v>
      </c>
      <c r="L45" s="276"/>
      <c r="M45" s="157"/>
      <c r="N45" s="277"/>
      <c r="O45" s="277"/>
      <c r="P45" s="172" t="str">
        <f>IF(OR(M45="",N45=""),"",((N45*VLOOKUP(M45,'State eGrid factors'!$E:$M,9,FALSE))+(((N45/(1-EF!$E$34))*EF!$E$29)+(N45*EF!$H$3))/1000+N("electricity emissions + upstream losses on total generation + T&amp;D losses")))</f>
        <v/>
      </c>
      <c r="Q45" s="172" t="str">
        <f>IF(O45="","",(O45*('CBECS IFs'!$M$18+'CBECS IFs'!$O$24))/1000)</f>
        <v/>
      </c>
    </row>
    <row r="46" spans="1:17" ht="15">
      <c r="A46" s="272">
        <v>19</v>
      </c>
      <c r="B46" s="276"/>
      <c r="C46" s="277"/>
      <c r="D46" s="157"/>
      <c r="E46" s="278" t="str">
        <f>IF(C46="","",C46*'CBECS IFs'!$C$8)</f>
        <v/>
      </c>
      <c r="F46" s="278" t="str">
        <f>IF(C46="","",C46*'CBECS IFs'!$D$18)</f>
        <v/>
      </c>
      <c r="G46" s="172" t="str">
        <f>IF(OR(D46="",E46=""),"",((E46*VLOOKUP(D46,'State eGrid factors'!$E:$M,9,FALSE))+(((E46/(1-EF!$E$34))*EF!$E$29)+(E46*EF!$H$3))/1000+N("electricity emissions + upstream losses on total generation + T&amp;D losses")))</f>
        <v/>
      </c>
      <c r="H46" s="172" t="str">
        <f>IF(F46="","",(F46*('CBECS IFs'!$M$18+'CBECS IFs'!$O$24))/1000)</f>
        <v/>
      </c>
      <c r="K46" s="272">
        <v>19</v>
      </c>
      <c r="L46" s="276"/>
      <c r="M46" s="157"/>
      <c r="N46" s="277"/>
      <c r="O46" s="277"/>
      <c r="P46" s="172" t="str">
        <f>IF(OR(M46="",N46=""),"",((N46*VLOOKUP(M46,'State eGrid factors'!$E:$M,9,FALSE))+(((N46/(1-EF!$E$34))*EF!$E$29)+(N46*EF!$H$3))/1000+N("electricity emissions + upstream losses on total generation + T&amp;D losses")))</f>
        <v/>
      </c>
      <c r="Q46" s="172" t="str">
        <f>IF(O46="","",(O46*('CBECS IFs'!$M$18+'CBECS IFs'!$O$24))/1000)</f>
        <v/>
      </c>
    </row>
    <row r="47" spans="1:17" ht="15.75" thickBot="1">
      <c r="A47" s="272">
        <v>20</v>
      </c>
      <c r="B47" s="276"/>
      <c r="C47" s="277"/>
      <c r="D47" s="157"/>
      <c r="E47" s="278" t="str">
        <f>IF(C47="","",C47*'CBECS IFs'!$C$8)</f>
        <v/>
      </c>
      <c r="F47" s="278" t="str">
        <f>IF(C47="","",C47*'CBECS IFs'!$D$18)</f>
        <v/>
      </c>
      <c r="G47" s="172" t="str">
        <f>IF(OR(D47="",E47=""),"",((E47*VLOOKUP(D47,'State eGrid factors'!$E:$M,9,FALSE))+(((E47/(1-EF!$E$34))*EF!$E$29)+(E47*EF!$H$3))/1000+N("electricity emissions + upstream losses on total generation + T&amp;D losses")))</f>
        <v/>
      </c>
      <c r="H47" s="172" t="str">
        <f>IF(F47="","",(F47*('CBECS IFs'!$M$18+'CBECS IFs'!$O$24))/1000)</f>
        <v/>
      </c>
      <c r="K47" s="272">
        <v>20</v>
      </c>
      <c r="L47" s="276"/>
      <c r="M47" s="157"/>
      <c r="N47" s="277"/>
      <c r="O47" s="277"/>
      <c r="P47" s="172" t="str">
        <f>IF(OR(M47="",N47=""),"",((N47*VLOOKUP(M47,'State eGrid factors'!$E:$M,9,FALSE))+(((N47/(1-EF!$E$34))*EF!$E$29)+(N47*EF!$H$3))/1000+N("electricity emissions + upstream losses on total generation + T&amp;D losses")))</f>
        <v/>
      </c>
      <c r="Q47" s="172" t="str">
        <f>IF(O47="","",(O47*('CBECS IFs'!$M$18+'CBECS IFs'!$O$24))/1000)</f>
        <v/>
      </c>
    </row>
    <row r="48" spans="1:17" ht="15" thickBot="1">
      <c r="F48" s="279" t="s">
        <v>1268</v>
      </c>
      <c r="G48" s="179">
        <f>SUM(G29:G47)</f>
        <v>0</v>
      </c>
      <c r="H48" s="179">
        <f>SUM(H29:H47)</f>
        <v>0</v>
      </c>
      <c r="O48" s="279" t="s">
        <v>1268</v>
      </c>
      <c r="P48" s="179">
        <f>SUM(P29:P47)</f>
        <v>0</v>
      </c>
      <c r="Q48" s="179">
        <f>SUM(Q29:Q47)</f>
        <v>0</v>
      </c>
    </row>
    <row r="49" spans="1:18">
      <c r="F49" s="280"/>
      <c r="G49" s="281"/>
      <c r="O49" s="280"/>
      <c r="P49" s="281"/>
    </row>
    <row r="50" spans="1:18" ht="18.75">
      <c r="A50" s="266" t="s">
        <v>1415</v>
      </c>
      <c r="K50" s="266" t="s">
        <v>1415</v>
      </c>
    </row>
    <row r="51" spans="1:18" ht="14.25" customHeight="1">
      <c r="A51" s="267" t="s">
        <v>1237</v>
      </c>
      <c r="K51" s="267" t="s">
        <v>1237</v>
      </c>
    </row>
    <row r="52" spans="1:18" ht="22.5" customHeight="1">
      <c r="A52" s="267"/>
      <c r="C52" s="1567" t="s">
        <v>2915</v>
      </c>
      <c r="D52" s="719"/>
      <c r="K52" s="267"/>
      <c r="M52" s="719"/>
    </row>
    <row r="53" spans="1:18" ht="8.25" customHeight="1">
      <c r="A53" s="267"/>
      <c r="C53" s="1567"/>
      <c r="D53" s="719"/>
      <c r="K53" s="267"/>
      <c r="L53" s="42"/>
      <c r="M53" s="719"/>
      <c r="N53" s="42"/>
      <c r="O53" s="42"/>
    </row>
    <row r="54" spans="1:18" ht="14.25" customHeight="1">
      <c r="B54" s="53" t="s">
        <v>312</v>
      </c>
      <c r="C54" s="53" t="s">
        <v>312</v>
      </c>
      <c r="D54" s="53" t="s">
        <v>312</v>
      </c>
      <c r="E54" s="53" t="s">
        <v>312</v>
      </c>
      <c r="F54" s="269"/>
      <c r="L54" s="53" t="s">
        <v>312</v>
      </c>
      <c r="M54" s="53" t="s">
        <v>312</v>
      </c>
      <c r="N54" s="53" t="s">
        <v>312</v>
      </c>
      <c r="O54" s="53" t="s">
        <v>312</v>
      </c>
      <c r="P54" s="53" t="s">
        <v>312</v>
      </c>
    </row>
    <row r="55" spans="1:18" ht="45">
      <c r="A55" s="270" t="s">
        <v>1238</v>
      </c>
      <c r="B55" s="271" t="s">
        <v>319</v>
      </c>
      <c r="C55" s="294" t="s">
        <v>2916</v>
      </c>
      <c r="D55" s="288" t="s">
        <v>1411</v>
      </c>
      <c r="E55" s="215" t="s">
        <v>4055</v>
      </c>
      <c r="F55" s="288" t="s">
        <v>1412</v>
      </c>
      <c r="G55" s="288" t="s">
        <v>1413</v>
      </c>
      <c r="H55" s="288" t="s">
        <v>4056</v>
      </c>
      <c r="I55" s="288" t="s">
        <v>4057</v>
      </c>
      <c r="K55" s="270" t="s">
        <v>1238</v>
      </c>
      <c r="L55" s="271" t="s">
        <v>319</v>
      </c>
      <c r="M55" s="271" t="s">
        <v>1729</v>
      </c>
      <c r="N55" s="215" t="s">
        <v>4055</v>
      </c>
      <c r="O55" s="270" t="s">
        <v>1412</v>
      </c>
      <c r="P55" s="288" t="s">
        <v>1413</v>
      </c>
      <c r="Q55" s="288" t="s">
        <v>4056</v>
      </c>
      <c r="R55" s="288" t="s">
        <v>4057</v>
      </c>
    </row>
    <row r="56" spans="1:18" ht="15">
      <c r="A56" s="272">
        <v>1</v>
      </c>
      <c r="B56" s="273" t="s">
        <v>1414</v>
      </c>
      <c r="C56" s="273"/>
      <c r="D56" s="277"/>
      <c r="E56" s="147"/>
      <c r="F56" s="275" t="str">
        <f>IF(OR(C56="",D56=""),"",(D56*IF(C56='CBECS IFs'!$B$10,'CBECS IFs'!$C$10,'CBECS IFs'!$C$11)))</f>
        <v/>
      </c>
      <c r="G56" s="275" t="str">
        <f>IF(OR(C56="",D56=""),"",(D56*IF(C56='CBECS IFs'!$B$20,'CBECS IFs'!$D$20,'CBECS IFs'!$D$21)))</f>
        <v/>
      </c>
      <c r="H56" s="171" t="str">
        <f>IF(OR(E56="",F56=""),"",((F56*VLOOKUP(E56,'State eGrid factors'!$E:$M,9,FALSE))+(((F56/(1-EF!$E$34))*EF!$E$29)+(F56*EF!$H$3))/1000+N("electricity emissions + upstream losses on total generation + T&amp;D losses")))</f>
        <v/>
      </c>
      <c r="I56" s="171" t="str">
        <f>IF(G56="","",(G56*('CBECS IFs'!$M$18+'CBECS IFs'!$O$24))/1000)</f>
        <v/>
      </c>
      <c r="K56" s="272">
        <v>1</v>
      </c>
      <c r="L56" s="273" t="s">
        <v>1414</v>
      </c>
      <c r="M56" s="273" t="s">
        <v>1416</v>
      </c>
      <c r="N56" s="147" t="s">
        <v>1396</v>
      </c>
      <c r="O56" s="274">
        <v>50000</v>
      </c>
      <c r="P56" s="274">
        <v>1000</v>
      </c>
      <c r="Q56" s="171">
        <f>IF(OR(N56="",O56=""),"",((O56*VLOOKUP(N56,'State eGrid factors'!$E:$M,9,FALSE))+(((O56/(1-EF!$E$34))*EF!$E$29)+(O56*EF!$H$3))/1000+N("electricity emissions + upstream losses on total generation + T&amp;D losses")))</f>
        <v>27.469101036012944</v>
      </c>
      <c r="R56" s="171">
        <f>IF(P56="","",(P56*('CBECS IFs'!$M$18+'CBECS IFs'!$O$24))/1000)</f>
        <v>6.2464855997752258</v>
      </c>
    </row>
    <row r="57" spans="1:18" ht="15">
      <c r="A57" s="272">
        <v>2</v>
      </c>
      <c r="B57" s="276"/>
      <c r="C57" s="276"/>
      <c r="D57" s="277"/>
      <c r="E57" s="157"/>
      <c r="F57" s="824" t="str">
        <f>IF(OR(C57="",D57=""),"",(D57*IF(C57='CBECS IFs'!$B$10,'CBECS IFs'!$C$10,'CBECS IFs'!$C$11)))</f>
        <v/>
      </c>
      <c r="G57" s="824" t="str">
        <f>IF(OR(C57="",D57=""),"",(D57*IF(C57='CBECS IFs'!$B$20,'CBECS IFs'!$D$20,'CBECS IFs'!$D$21)))</f>
        <v/>
      </c>
      <c r="H57" s="172" t="str">
        <f>IF(OR(E57="",F57=""),"",((F57*VLOOKUP(E57,'State eGrid factors'!$E:$M,9,FALSE))+(((F57/(1-EF!$E$34))*EF!$E$29)+(F57*EF!$H$3))/1000+N("electricity emissions + upstream losses on total generation + T&amp;D losses")))</f>
        <v/>
      </c>
      <c r="I57" s="172" t="str">
        <f>IF(G57="","",(G57*('CBECS IFs'!$M$18+'CBECS IFs'!$O$24))/1000)</f>
        <v/>
      </c>
      <c r="K57" s="272">
        <v>2</v>
      </c>
      <c r="L57" s="276"/>
      <c r="M57" s="276"/>
      <c r="N57" s="157"/>
      <c r="O57" s="277"/>
      <c r="P57" s="277"/>
      <c r="Q57" s="172" t="str">
        <f>IF(OR(N57="",O57=""),"",((O57*VLOOKUP(N57,'State eGrid factors'!$E:$M,9,FALSE))+(((O57/(1-EF!$E$34))*EF!$E$29)+(O57*EF!$H$3))/1000+N("electricity emissions + upstream losses on total generation + T&amp;D losses")))</f>
        <v/>
      </c>
      <c r="R57" s="172" t="str">
        <f>IF(P57="","",(P57*('CBECS IFs'!$M$18+'CBECS IFs'!$O$24))/1000)</f>
        <v/>
      </c>
    </row>
    <row r="58" spans="1:18" ht="15">
      <c r="A58" s="272">
        <v>3</v>
      </c>
      <c r="B58" s="276"/>
      <c r="C58" s="276"/>
      <c r="D58" s="277"/>
      <c r="E58" s="157"/>
      <c r="F58" s="824" t="str">
        <f>IF(OR(C58="",D58=""),"",(D58*IF(C58='CBECS IFs'!$B$10,'CBECS IFs'!$C$10,'CBECS IFs'!$C$11)))</f>
        <v/>
      </c>
      <c r="G58" s="824" t="str">
        <f>IF(OR(C58="",D58=""),"",(D58*IF(C58='CBECS IFs'!$B$20,'CBECS IFs'!$D$20,'CBECS IFs'!$D$21)))</f>
        <v/>
      </c>
      <c r="H58" s="172" t="str">
        <f>IF(OR(E58="",F58=""),"",((F58*VLOOKUP(E58,'State eGrid factors'!$E:$M,9,FALSE))+(((F58/(1-EF!$E$34))*EF!$E$29)+(F58*EF!$H$3))/1000+N("electricity emissions + upstream losses on total generation + T&amp;D losses")))</f>
        <v/>
      </c>
      <c r="I58" s="172" t="str">
        <f>IF(G58="","",(G58*('CBECS IFs'!$M$18+'CBECS IFs'!$O$24))/1000)</f>
        <v/>
      </c>
      <c r="K58" s="272">
        <v>3</v>
      </c>
      <c r="L58" s="276"/>
      <c r="M58" s="276"/>
      <c r="N58" s="157"/>
      <c r="O58" s="277"/>
      <c r="P58" s="277"/>
      <c r="Q58" s="172" t="str">
        <f>IF(OR(N58="",O58=""),"",((O58*VLOOKUP(N58,'State eGrid factors'!$E:$M,9,FALSE))+(((O58/(1-EF!$E$34))*EF!$E$29)+(O58*EF!$H$3))/1000+N("electricity emissions + upstream losses on total generation + T&amp;D losses")))</f>
        <v/>
      </c>
      <c r="R58" s="172" t="str">
        <f>IF(P58="","",(P58*('CBECS IFs'!$M$18+'CBECS IFs'!$O$24))/1000)</f>
        <v/>
      </c>
    </row>
    <row r="59" spans="1:18" ht="15">
      <c r="A59" s="272">
        <v>4</v>
      </c>
      <c r="B59" s="276"/>
      <c r="C59" s="276"/>
      <c r="D59" s="277"/>
      <c r="E59" s="157"/>
      <c r="F59" s="824" t="str">
        <f>IF(OR(C59="",D59=""),"",(D59*IF(C59='CBECS IFs'!$B$10,'CBECS IFs'!$C$10,'CBECS IFs'!$C$11)))</f>
        <v/>
      </c>
      <c r="G59" s="824" t="str">
        <f>IF(OR(C59="",D59=""),"",(D59*IF(C59='CBECS IFs'!$B$20,'CBECS IFs'!$D$20,'CBECS IFs'!$D$21)))</f>
        <v/>
      </c>
      <c r="H59" s="172" t="str">
        <f>IF(OR(E59="",F59=""),"",((F59*VLOOKUP(E59,'State eGrid factors'!$E:$M,9,FALSE))+(((F59/(1-EF!$E$34))*EF!$E$29)+(F59*EF!$H$3))/1000+N("electricity emissions + upstream losses on total generation + T&amp;D losses")))</f>
        <v/>
      </c>
      <c r="I59" s="172" t="str">
        <f>IF(G59="","",(G59*('CBECS IFs'!$M$18+'CBECS IFs'!$O$24))/1000)</f>
        <v/>
      </c>
      <c r="K59" s="272">
        <v>4</v>
      </c>
      <c r="L59" s="276"/>
      <c r="M59" s="276"/>
      <c r="N59" s="157"/>
      <c r="O59" s="277"/>
      <c r="P59" s="277"/>
      <c r="Q59" s="172" t="str">
        <f>IF(OR(N59="",O59=""),"",((O59*VLOOKUP(N59,'State eGrid factors'!$E:$M,9,FALSE))+(((O59/(1-EF!$E$34))*EF!$E$29)+(O59*EF!$H$3))/1000+N("electricity emissions + upstream losses on total generation + T&amp;D losses")))</f>
        <v/>
      </c>
      <c r="R59" s="172" t="str">
        <f>IF(P59="","",(P59*('CBECS IFs'!$M$18+'CBECS IFs'!$O$24))/1000)</f>
        <v/>
      </c>
    </row>
    <row r="60" spans="1:18" ht="15">
      <c r="A60" s="272">
        <v>5</v>
      </c>
      <c r="B60" s="276"/>
      <c r="C60" s="276"/>
      <c r="D60" s="277"/>
      <c r="E60" s="157"/>
      <c r="F60" s="824" t="str">
        <f>IF(OR(C60="",D60=""),"",(D60*IF(C60='CBECS IFs'!$B$10,'CBECS IFs'!$C$10,'CBECS IFs'!$C$11)))</f>
        <v/>
      </c>
      <c r="G60" s="824" t="str">
        <f>IF(OR(C60="",D60=""),"",(D60*IF(C60='CBECS IFs'!$B$20,'CBECS IFs'!$D$20,'CBECS IFs'!$D$21)))</f>
        <v/>
      </c>
      <c r="H60" s="172" t="str">
        <f>IF(OR(E60="",F60=""),"",((F60*VLOOKUP(E60,'State eGrid factors'!$E:$M,9,FALSE))+(((F60/(1-EF!$E$34))*EF!$E$29)+(F60*EF!$H$3))/1000+N("electricity emissions + upstream losses on total generation + T&amp;D losses")))</f>
        <v/>
      </c>
      <c r="I60" s="172" t="str">
        <f>IF(G60="","",(G60*('CBECS IFs'!$M$18+'CBECS IFs'!$O$24))/1000)</f>
        <v/>
      </c>
      <c r="K60" s="272">
        <v>5</v>
      </c>
      <c r="L60" s="276"/>
      <c r="M60" s="276"/>
      <c r="N60" s="157"/>
      <c r="O60" s="277"/>
      <c r="P60" s="277"/>
      <c r="Q60" s="172" t="str">
        <f>IF(OR(N60="",O60=""),"",((O60*VLOOKUP(N60,'State eGrid factors'!$E:$M,9,FALSE))+(((O60/(1-EF!$E$34))*EF!$E$29)+(O60*EF!$H$3))/1000+N("electricity emissions + upstream losses on total generation + T&amp;D losses")))</f>
        <v/>
      </c>
      <c r="R60" s="172" t="str">
        <f>IF(P60="","",(P60*('CBECS IFs'!$M$18+'CBECS IFs'!$O$24))/1000)</f>
        <v/>
      </c>
    </row>
    <row r="61" spans="1:18" ht="15">
      <c r="A61" s="272">
        <v>6</v>
      </c>
      <c r="B61" s="276"/>
      <c r="C61" s="276"/>
      <c r="D61" s="277"/>
      <c r="E61" s="157"/>
      <c r="F61" s="824" t="str">
        <f>IF(OR(C61="",D61=""),"",(D61*IF(C61='CBECS IFs'!$B$10,'CBECS IFs'!$C$10,'CBECS IFs'!$C$11)))</f>
        <v/>
      </c>
      <c r="G61" s="824" t="str">
        <f>IF(OR(C61="",D61=""),"",(D61*IF(C61='CBECS IFs'!$B$20,'CBECS IFs'!$D$20,'CBECS IFs'!$D$21)))</f>
        <v/>
      </c>
      <c r="H61" s="172" t="str">
        <f>IF(OR(E61="",F61=""),"",((F61*VLOOKUP(E61,'State eGrid factors'!$E:$M,9,FALSE))+(((F61/(1-EF!$E$34))*EF!$E$29)+(F61*EF!$H$3))/1000+N("electricity emissions + upstream losses on total generation + T&amp;D losses")))</f>
        <v/>
      </c>
      <c r="I61" s="172" t="str">
        <f>IF(G61="","",(G61*('CBECS IFs'!$M$18+'CBECS IFs'!$O$24))/1000)</f>
        <v/>
      </c>
      <c r="K61" s="272">
        <v>6</v>
      </c>
      <c r="L61" s="276"/>
      <c r="M61" s="276"/>
      <c r="N61" s="157"/>
      <c r="O61" s="277"/>
      <c r="P61" s="277"/>
      <c r="Q61" s="172" t="str">
        <f>IF(OR(N61="",O61=""),"",((O61*VLOOKUP(N61,'State eGrid factors'!$E:$M,9,FALSE))+(((O61/(1-EF!$E$34))*EF!$E$29)+(O61*EF!$H$3))/1000+N("electricity emissions + upstream losses on total generation + T&amp;D losses")))</f>
        <v/>
      </c>
      <c r="R61" s="172" t="str">
        <f>IF(P61="","",(P61*('CBECS IFs'!$M$18+'CBECS IFs'!$O$24))/1000)</f>
        <v/>
      </c>
    </row>
    <row r="62" spans="1:18" ht="15">
      <c r="A62" s="272">
        <v>7</v>
      </c>
      <c r="B62" s="276"/>
      <c r="C62" s="276"/>
      <c r="D62" s="277"/>
      <c r="E62" s="157"/>
      <c r="F62" s="824" t="str">
        <f>IF(OR(C62="",D62=""),"",(D62*IF(C62='CBECS IFs'!$B$10,'CBECS IFs'!$C$10,'CBECS IFs'!$C$11)))</f>
        <v/>
      </c>
      <c r="G62" s="824" t="str">
        <f>IF(OR(C62="",D62=""),"",(D62*IF(C62='CBECS IFs'!$B$20,'CBECS IFs'!$D$20,'CBECS IFs'!$D$21)))</f>
        <v/>
      </c>
      <c r="H62" s="172" t="str">
        <f>IF(OR(E62="",F62=""),"",((F62*VLOOKUP(E62,'State eGrid factors'!$E:$M,9,FALSE))+(((F62/(1-EF!$E$34))*EF!$E$29)+(F62*EF!$H$3))/1000+N("electricity emissions + upstream losses on total generation + T&amp;D losses")))</f>
        <v/>
      </c>
      <c r="I62" s="172" t="str">
        <f>IF(G62="","",(G62*('CBECS IFs'!$M$18+'CBECS IFs'!$O$24))/1000)</f>
        <v/>
      </c>
      <c r="K62" s="272">
        <v>7</v>
      </c>
      <c r="L62" s="276"/>
      <c r="M62" s="276"/>
      <c r="N62" s="157"/>
      <c r="O62" s="277"/>
      <c r="P62" s="277"/>
      <c r="Q62" s="172" t="str">
        <f>IF(OR(N62="",O62=""),"",((O62*VLOOKUP(N62,'State eGrid factors'!$E:$M,9,FALSE))+(((O62/(1-EF!$E$34))*EF!$E$29)+(O62*EF!$H$3))/1000+N("electricity emissions + upstream losses on total generation + T&amp;D losses")))</f>
        <v/>
      </c>
      <c r="R62" s="172" t="str">
        <f>IF(P62="","",(P62*('CBECS IFs'!$M$18+'CBECS IFs'!$O$24))/1000)</f>
        <v/>
      </c>
    </row>
    <row r="63" spans="1:18" ht="15">
      <c r="A63" s="272">
        <v>8</v>
      </c>
      <c r="B63" s="276"/>
      <c r="C63" s="276"/>
      <c r="D63" s="277"/>
      <c r="E63" s="157"/>
      <c r="F63" s="824" t="str">
        <f>IF(OR(C63="",D63=""),"",(D63*IF(C63='CBECS IFs'!$B$10,'CBECS IFs'!$C$10,'CBECS IFs'!$C$11)))</f>
        <v/>
      </c>
      <c r="G63" s="824" t="str">
        <f>IF(OR(C63="",D63=""),"",(D63*IF(C63='CBECS IFs'!$B$20,'CBECS IFs'!$D$20,'CBECS IFs'!$D$21)))</f>
        <v/>
      </c>
      <c r="H63" s="172" t="str">
        <f>IF(OR(E63="",F63=""),"",((F63*VLOOKUP(E63,'State eGrid factors'!$E:$M,9,FALSE))+(((F63/(1-EF!$E$34))*EF!$E$29)+(F63*EF!$H$3))/1000+N("electricity emissions + upstream losses on total generation + T&amp;D losses")))</f>
        <v/>
      </c>
      <c r="I63" s="172" t="str">
        <f>IF(G63="","",(G63*('CBECS IFs'!$M$18+'CBECS IFs'!$O$24))/1000)</f>
        <v/>
      </c>
      <c r="K63" s="272">
        <v>8</v>
      </c>
      <c r="L63" s="276"/>
      <c r="M63" s="276"/>
      <c r="N63" s="157"/>
      <c r="O63" s="277"/>
      <c r="P63" s="277"/>
      <c r="Q63" s="172" t="str">
        <f>IF(OR(N63="",O63=""),"",((O63*VLOOKUP(N63,'State eGrid factors'!$E:$M,9,FALSE))+(((O63/(1-EF!$E$34))*EF!$E$29)+(O63*EF!$H$3))/1000+N("electricity emissions + upstream losses on total generation + T&amp;D losses")))</f>
        <v/>
      </c>
      <c r="R63" s="172" t="str">
        <f>IF(P63="","",(P63*('CBECS IFs'!$M$18+'CBECS IFs'!$O$24))/1000)</f>
        <v/>
      </c>
    </row>
    <row r="64" spans="1:18" ht="15">
      <c r="A64" s="272">
        <v>9</v>
      </c>
      <c r="B64" s="276"/>
      <c r="C64" s="276"/>
      <c r="D64" s="277"/>
      <c r="E64" s="157"/>
      <c r="F64" s="824" t="str">
        <f>IF(OR(C64="",D64=""),"",(D64*IF(C64='CBECS IFs'!$B$10,'CBECS IFs'!$C$10,'CBECS IFs'!$C$11)))</f>
        <v/>
      </c>
      <c r="G64" s="824" t="str">
        <f>IF(OR(C64="",D64=""),"",(D64*IF(C64='CBECS IFs'!$B$20,'CBECS IFs'!$D$20,'CBECS IFs'!$D$21)))</f>
        <v/>
      </c>
      <c r="H64" s="172" t="str">
        <f>IF(OR(E64="",F64=""),"",((F64*VLOOKUP(E64,'State eGrid factors'!$E:$M,9,FALSE))+(((F64/(1-EF!$E$34))*EF!$E$29)+(F64*EF!$H$3))/1000+N("electricity emissions + upstream losses on total generation + T&amp;D losses")))</f>
        <v/>
      </c>
      <c r="I64" s="172" t="str">
        <f>IF(G64="","",(G64*('CBECS IFs'!$M$18+'CBECS IFs'!$O$24))/1000)</f>
        <v/>
      </c>
      <c r="K64" s="272">
        <v>9</v>
      </c>
      <c r="L64" s="276"/>
      <c r="M64" s="276"/>
      <c r="N64" s="157"/>
      <c r="O64" s="277"/>
      <c r="P64" s="277"/>
      <c r="Q64" s="172" t="str">
        <f>IF(OR(N64="",O64=""),"",((O64*VLOOKUP(N64,'State eGrid factors'!$E:$M,9,FALSE))+(((O64/(1-EF!$E$34))*EF!$E$29)+(O64*EF!$H$3))/1000+N("electricity emissions + upstream losses on total generation + T&amp;D losses")))</f>
        <v/>
      </c>
      <c r="R64" s="172" t="str">
        <f>IF(P64="","",(P64*('CBECS IFs'!$M$18+'CBECS IFs'!$O$24))/1000)</f>
        <v/>
      </c>
    </row>
    <row r="65" spans="1:18" ht="15">
      <c r="A65" s="272">
        <v>10</v>
      </c>
      <c r="B65" s="276"/>
      <c r="C65" s="276"/>
      <c r="D65" s="277"/>
      <c r="E65" s="157"/>
      <c r="F65" s="824" t="str">
        <f>IF(OR(C65="",D65=""),"",(D65*IF(C65='CBECS IFs'!$B$10,'CBECS IFs'!$C$10,'CBECS IFs'!$C$11)))</f>
        <v/>
      </c>
      <c r="G65" s="824" t="str">
        <f>IF(OR(C65="",D65=""),"",(D65*IF(C65='CBECS IFs'!$B$20,'CBECS IFs'!$D$20,'CBECS IFs'!$D$21)))</f>
        <v/>
      </c>
      <c r="H65" s="172" t="str">
        <f>IF(OR(E65="",F65=""),"",((F65*VLOOKUP(E65,'State eGrid factors'!$E:$M,9,FALSE))+(((F65/(1-EF!$E$34))*EF!$E$29)+(F65*EF!$H$3))/1000+N("electricity emissions + upstream losses on total generation + T&amp;D losses")))</f>
        <v/>
      </c>
      <c r="I65" s="172" t="str">
        <f>IF(G65="","",(G65*('CBECS IFs'!$M$18+'CBECS IFs'!$O$24))/1000)</f>
        <v/>
      </c>
      <c r="K65" s="272">
        <v>10</v>
      </c>
      <c r="L65" s="276"/>
      <c r="M65" s="276"/>
      <c r="N65" s="157"/>
      <c r="O65" s="277"/>
      <c r="P65" s="277"/>
      <c r="Q65" s="172" t="str">
        <f>IF(OR(N65="",O65=""),"",((O65*VLOOKUP(N65,'State eGrid factors'!$E:$M,9,FALSE))+(((O65/(1-EF!$E$34))*EF!$E$29)+(O65*EF!$H$3))/1000+N("electricity emissions + upstream losses on total generation + T&amp;D losses")))</f>
        <v/>
      </c>
      <c r="R65" s="172" t="str">
        <f>IF(P65="","",(P65*('CBECS IFs'!$M$18+'CBECS IFs'!$O$24))/1000)</f>
        <v/>
      </c>
    </row>
    <row r="66" spans="1:18" ht="15">
      <c r="A66" s="272">
        <v>11</v>
      </c>
      <c r="B66" s="276"/>
      <c r="C66" s="276"/>
      <c r="D66" s="277"/>
      <c r="E66" s="157"/>
      <c r="F66" s="824" t="str">
        <f>IF(OR(C66="",D66=""),"",(D66*IF(C66='CBECS IFs'!$B$10,'CBECS IFs'!$C$10,'CBECS IFs'!$C$11)))</f>
        <v/>
      </c>
      <c r="G66" s="824" t="str">
        <f>IF(OR(C66="",D66=""),"",(D66*IF(C66='CBECS IFs'!$B$20,'CBECS IFs'!$D$20,'CBECS IFs'!$D$21)))</f>
        <v/>
      </c>
      <c r="H66" s="172" t="str">
        <f>IF(OR(E66="",F66=""),"",((F66*VLOOKUP(E66,'State eGrid factors'!$E:$M,9,FALSE))+(((F66/(1-EF!$E$34))*EF!$E$29)+(F66*EF!$H$3))/1000+N("electricity emissions + upstream losses on total generation + T&amp;D losses")))</f>
        <v/>
      </c>
      <c r="I66" s="172" t="str">
        <f>IF(G66="","",(G66*('CBECS IFs'!$M$18+'CBECS IFs'!$O$24))/1000)</f>
        <v/>
      </c>
      <c r="K66" s="272">
        <v>11</v>
      </c>
      <c r="L66" s="276"/>
      <c r="M66" s="276"/>
      <c r="N66" s="157"/>
      <c r="O66" s="277"/>
      <c r="P66" s="277"/>
      <c r="Q66" s="172" t="str">
        <f>IF(OR(N66="",O66=""),"",((O66*VLOOKUP(N66,'State eGrid factors'!$E:$M,9,FALSE))+(((O66/(1-EF!$E$34))*EF!$E$29)+(O66*EF!$H$3))/1000+N("electricity emissions + upstream losses on total generation + T&amp;D losses")))</f>
        <v/>
      </c>
      <c r="R66" s="172" t="str">
        <f>IF(P66="","",(P66*('CBECS IFs'!$M$18+'CBECS IFs'!$O$24))/1000)</f>
        <v/>
      </c>
    </row>
    <row r="67" spans="1:18" ht="15">
      <c r="A67" s="272">
        <v>12</v>
      </c>
      <c r="B67" s="276"/>
      <c r="C67" s="276"/>
      <c r="D67" s="277"/>
      <c r="E67" s="157"/>
      <c r="F67" s="824" t="str">
        <f>IF(OR(C67="",D67=""),"",(D67*IF(C67='CBECS IFs'!$B$10,'CBECS IFs'!$C$10,'CBECS IFs'!$C$11)))</f>
        <v/>
      </c>
      <c r="G67" s="824" t="str">
        <f>IF(OR(C67="",D67=""),"",(D67*IF(C67='CBECS IFs'!$B$20,'CBECS IFs'!$D$20,'CBECS IFs'!$D$21)))</f>
        <v/>
      </c>
      <c r="H67" s="172" t="str">
        <f>IF(OR(E67="",F67=""),"",((F67*VLOOKUP(E67,'State eGrid factors'!$E:$M,9,FALSE))+(((F67/(1-EF!$E$34))*EF!$E$29)+(F67*EF!$H$3))/1000+N("electricity emissions + upstream losses on total generation + T&amp;D losses")))</f>
        <v/>
      </c>
      <c r="I67" s="172" t="str">
        <f>IF(G67="","",(G67*('CBECS IFs'!$M$18+'CBECS IFs'!$O$24))/1000)</f>
        <v/>
      </c>
      <c r="K67" s="272">
        <v>12</v>
      </c>
      <c r="L67" s="276"/>
      <c r="M67" s="276"/>
      <c r="N67" s="157"/>
      <c r="O67" s="277"/>
      <c r="P67" s="277"/>
      <c r="Q67" s="172" t="str">
        <f>IF(OR(N67="",O67=""),"",((O67*VLOOKUP(N67,'State eGrid factors'!$E:$M,9,FALSE))+(((O67/(1-EF!$E$34))*EF!$E$29)+(O67*EF!$H$3))/1000+N("electricity emissions + upstream losses on total generation + T&amp;D losses")))</f>
        <v/>
      </c>
      <c r="R67" s="172" t="str">
        <f>IF(P67="","",(P67*('CBECS IFs'!$M$18+'CBECS IFs'!$O$24))/1000)</f>
        <v/>
      </c>
    </row>
    <row r="68" spans="1:18" ht="15">
      <c r="A68" s="272">
        <v>13</v>
      </c>
      <c r="B68" s="276"/>
      <c r="C68" s="276"/>
      <c r="D68" s="277"/>
      <c r="E68" s="157"/>
      <c r="F68" s="824" t="str">
        <f>IF(OR(C68="",D68=""),"",(D68*IF(C68='CBECS IFs'!$B$10,'CBECS IFs'!$C$10,'CBECS IFs'!$C$11)))</f>
        <v/>
      </c>
      <c r="G68" s="824" t="str">
        <f>IF(OR(C68="",D68=""),"",(D68*IF(C68='CBECS IFs'!$B$20,'CBECS IFs'!$D$20,'CBECS IFs'!$D$21)))</f>
        <v/>
      </c>
      <c r="H68" s="172" t="str">
        <f>IF(OR(E68="",F68=""),"",((F68*VLOOKUP(E68,'State eGrid factors'!$E:$M,9,FALSE))+(((F68/(1-EF!$E$34))*EF!$E$29)+(F68*EF!$H$3))/1000+N("electricity emissions + upstream losses on total generation + T&amp;D losses")))</f>
        <v/>
      </c>
      <c r="I68" s="172" t="str">
        <f>IF(G68="","",(G68*('CBECS IFs'!$M$18+'CBECS IFs'!$O$24))/1000)</f>
        <v/>
      </c>
      <c r="K68" s="272">
        <v>13</v>
      </c>
      <c r="L68" s="276"/>
      <c r="M68" s="276"/>
      <c r="N68" s="157"/>
      <c r="O68" s="277"/>
      <c r="P68" s="277"/>
      <c r="Q68" s="172" t="str">
        <f>IF(OR(N68="",O68=""),"",((O68*VLOOKUP(N68,'State eGrid factors'!$E:$M,9,FALSE))+(((O68/(1-EF!$E$34))*EF!$E$29)+(O68*EF!$H$3))/1000+N("electricity emissions + upstream losses on total generation + T&amp;D losses")))</f>
        <v/>
      </c>
      <c r="R68" s="172" t="str">
        <f>IF(P68="","",(P68*('CBECS IFs'!$M$18+'CBECS IFs'!$O$24))/1000)</f>
        <v/>
      </c>
    </row>
    <row r="69" spans="1:18" ht="15">
      <c r="A69" s="272">
        <v>14</v>
      </c>
      <c r="B69" s="276"/>
      <c r="C69" s="276"/>
      <c r="D69" s="277"/>
      <c r="E69" s="157"/>
      <c r="F69" s="824" t="str">
        <f>IF(OR(C69="",D69=""),"",(D69*IF(C69='CBECS IFs'!$B$10,'CBECS IFs'!$C$10,'CBECS IFs'!$C$11)))</f>
        <v/>
      </c>
      <c r="G69" s="824" t="str">
        <f>IF(OR(C69="",D69=""),"",(D69*IF(C69='CBECS IFs'!$B$20,'CBECS IFs'!$D$20,'CBECS IFs'!$D$21)))</f>
        <v/>
      </c>
      <c r="H69" s="172" t="str">
        <f>IF(OR(E69="",F69=""),"",((F69*VLOOKUP(E69,'State eGrid factors'!$E:$M,9,FALSE))+(((F69/(1-EF!$E$34))*EF!$E$29)+(F69*EF!$H$3))/1000+N("electricity emissions + upstream losses on total generation + T&amp;D losses")))</f>
        <v/>
      </c>
      <c r="I69" s="172" t="str">
        <f>IF(G69="","",(G69*('CBECS IFs'!$M$18+'CBECS IFs'!$O$24))/1000)</f>
        <v/>
      </c>
      <c r="K69" s="272">
        <v>14</v>
      </c>
      <c r="L69" s="276"/>
      <c r="M69" s="276"/>
      <c r="N69" s="157"/>
      <c r="O69" s="277"/>
      <c r="P69" s="277"/>
      <c r="Q69" s="172" t="str">
        <f>IF(OR(N69="",O69=""),"",((O69*VLOOKUP(N69,'State eGrid factors'!$E:$M,9,FALSE))+(((O69/(1-EF!$E$34))*EF!$E$29)+(O69*EF!$H$3))/1000+N("electricity emissions + upstream losses on total generation + T&amp;D losses")))</f>
        <v/>
      </c>
      <c r="R69" s="172" t="str">
        <f>IF(P69="","",(P69*('CBECS IFs'!$M$18+'CBECS IFs'!$O$24))/1000)</f>
        <v/>
      </c>
    </row>
    <row r="70" spans="1:18" ht="15">
      <c r="A70" s="272">
        <v>15</v>
      </c>
      <c r="B70" s="276"/>
      <c r="C70" s="276"/>
      <c r="D70" s="277"/>
      <c r="E70" s="157"/>
      <c r="F70" s="824" t="str">
        <f>IF(OR(C70="",D70=""),"",(D70*IF(C70='CBECS IFs'!$B$10,'CBECS IFs'!$C$10,'CBECS IFs'!$C$11)))</f>
        <v/>
      </c>
      <c r="G70" s="824" t="str">
        <f>IF(OR(C70="",D70=""),"",(D70*IF(C70='CBECS IFs'!$B$20,'CBECS IFs'!$D$20,'CBECS IFs'!$D$21)))</f>
        <v/>
      </c>
      <c r="H70" s="172" t="str">
        <f>IF(OR(E70="",F70=""),"",((F70*VLOOKUP(E70,'State eGrid factors'!$E:$M,9,FALSE))+(((F70/(1-EF!$E$34))*EF!$E$29)+(F70*EF!$H$3))/1000+N("electricity emissions + upstream losses on total generation + T&amp;D losses")))</f>
        <v/>
      </c>
      <c r="I70" s="172" t="str">
        <f>IF(G70="","",(G70*('CBECS IFs'!$M$18+'CBECS IFs'!$O$24))/1000)</f>
        <v/>
      </c>
      <c r="K70" s="272">
        <v>15</v>
      </c>
      <c r="L70" s="276"/>
      <c r="M70" s="276"/>
      <c r="N70" s="157"/>
      <c r="O70" s="277"/>
      <c r="P70" s="277"/>
      <c r="Q70" s="172" t="str">
        <f>IF(OR(N70="",O70=""),"",((O70*VLOOKUP(N70,'State eGrid factors'!$E:$M,9,FALSE))+(((O70/(1-EF!$E$34))*EF!$E$29)+(O70*EF!$H$3))/1000+N("electricity emissions + upstream losses on total generation + T&amp;D losses")))</f>
        <v/>
      </c>
      <c r="R70" s="172" t="str">
        <f>IF(P70="","",(P70*('CBECS IFs'!$M$18+'CBECS IFs'!$O$24))/1000)</f>
        <v/>
      </c>
    </row>
    <row r="71" spans="1:18" ht="15">
      <c r="A71" s="272">
        <v>16</v>
      </c>
      <c r="B71" s="276"/>
      <c r="C71" s="276"/>
      <c r="D71" s="277"/>
      <c r="E71" s="157"/>
      <c r="F71" s="824" t="str">
        <f>IF(OR(C71="",D71=""),"",(D71*IF(C71='CBECS IFs'!$B$10,'CBECS IFs'!$C$10,'CBECS IFs'!$C$11)))</f>
        <v/>
      </c>
      <c r="G71" s="824" t="str">
        <f>IF(OR(C71="",D71=""),"",(D71*IF(C71='CBECS IFs'!$B$20,'CBECS IFs'!$D$20,'CBECS IFs'!$D$21)))</f>
        <v/>
      </c>
      <c r="H71" s="172" t="str">
        <f>IF(OR(E71="",F71=""),"",((F71*VLOOKUP(E71,'State eGrid factors'!$E:$M,9,FALSE))+(((F71/(1-EF!$E$34))*EF!$E$29)+(F71*EF!$H$3))/1000+N("electricity emissions + upstream losses on total generation + T&amp;D losses")))</f>
        <v/>
      </c>
      <c r="I71" s="172" t="str">
        <f>IF(G71="","",(G71*('CBECS IFs'!$M$18+'CBECS IFs'!$O$24))/1000)</f>
        <v/>
      </c>
      <c r="K71" s="272">
        <v>16</v>
      </c>
      <c r="L71" s="276"/>
      <c r="M71" s="276"/>
      <c r="N71" s="157"/>
      <c r="O71" s="277"/>
      <c r="P71" s="277"/>
      <c r="Q71" s="172" t="str">
        <f>IF(OR(N71="",O71=""),"",((O71*VLOOKUP(N71,'State eGrid factors'!$E:$M,9,FALSE))+(((O71/(1-EF!$E$34))*EF!$E$29)+(O71*EF!$H$3))/1000+N("electricity emissions + upstream losses on total generation + T&amp;D losses")))</f>
        <v/>
      </c>
      <c r="R71" s="172" t="str">
        <f>IF(P71="","",(P71*('CBECS IFs'!$M$18+'CBECS IFs'!$O$24))/1000)</f>
        <v/>
      </c>
    </row>
    <row r="72" spans="1:18" ht="15">
      <c r="A72" s="272">
        <v>17</v>
      </c>
      <c r="B72" s="276"/>
      <c r="C72" s="276"/>
      <c r="D72" s="277"/>
      <c r="E72" s="157"/>
      <c r="F72" s="824" t="str">
        <f>IF(OR(C72="",D72=""),"",(D72*IF(C72='CBECS IFs'!$B$10,'CBECS IFs'!$C$10,'CBECS IFs'!$C$11)))</f>
        <v/>
      </c>
      <c r="G72" s="824" t="str">
        <f>IF(OR(C72="",D72=""),"",(D72*IF(C72='CBECS IFs'!$B$20,'CBECS IFs'!$D$20,'CBECS IFs'!$D$21)))</f>
        <v/>
      </c>
      <c r="H72" s="172" t="str">
        <f>IF(OR(E72="",F72=""),"",((F72*VLOOKUP(E72,'State eGrid factors'!$E:$M,9,FALSE))+(((F72/(1-EF!$E$34))*EF!$E$29)+(F72*EF!$H$3))/1000+N("electricity emissions + upstream losses on total generation + T&amp;D losses")))</f>
        <v/>
      </c>
      <c r="I72" s="172" t="str">
        <f>IF(G72="","",(G72*('CBECS IFs'!$M$18+'CBECS IFs'!$O$24))/1000)</f>
        <v/>
      </c>
      <c r="K72" s="272">
        <v>17</v>
      </c>
      <c r="L72" s="276"/>
      <c r="M72" s="276"/>
      <c r="N72" s="157"/>
      <c r="O72" s="277"/>
      <c r="P72" s="277"/>
      <c r="Q72" s="172" t="str">
        <f>IF(OR(N72="",O72=""),"",((O72*VLOOKUP(N72,'State eGrid factors'!$E:$M,9,FALSE))+(((O72/(1-EF!$E$34))*EF!$E$29)+(O72*EF!$H$3))/1000+N("electricity emissions + upstream losses on total generation + T&amp;D losses")))</f>
        <v/>
      </c>
      <c r="R72" s="172" t="str">
        <f>IF(P72="","",(P72*('CBECS IFs'!$M$18+'CBECS IFs'!$O$24))/1000)</f>
        <v/>
      </c>
    </row>
    <row r="73" spans="1:18" ht="15">
      <c r="A73" s="272">
        <v>18</v>
      </c>
      <c r="B73" s="276"/>
      <c r="C73" s="276"/>
      <c r="D73" s="277"/>
      <c r="E73" s="157"/>
      <c r="F73" s="824" t="str">
        <f>IF(OR(C73="",D73=""),"",(D73*IF(C73='CBECS IFs'!$B$10,'CBECS IFs'!$C$10,'CBECS IFs'!$C$11)))</f>
        <v/>
      </c>
      <c r="G73" s="824" t="str">
        <f>IF(OR(C73="",D73=""),"",(D73*IF(C73='CBECS IFs'!$B$20,'CBECS IFs'!$D$20,'CBECS IFs'!$D$21)))</f>
        <v/>
      </c>
      <c r="H73" s="172" t="str">
        <f>IF(OR(E73="",F73=""),"",((F73*VLOOKUP(E73,'State eGrid factors'!$E:$M,9,FALSE))+(((F73/(1-EF!$E$34))*EF!$E$29)+(F73*EF!$H$3))/1000+N("electricity emissions + upstream losses on total generation + T&amp;D losses")))</f>
        <v/>
      </c>
      <c r="I73" s="172" t="str">
        <f>IF(G73="","",(G73*('CBECS IFs'!$M$18+'CBECS IFs'!$O$24))/1000)</f>
        <v/>
      </c>
      <c r="K73" s="272">
        <v>18</v>
      </c>
      <c r="L73" s="276"/>
      <c r="M73" s="276"/>
      <c r="N73" s="157"/>
      <c r="O73" s="277"/>
      <c r="P73" s="277"/>
      <c r="Q73" s="172" t="str">
        <f>IF(OR(N73="",O73=""),"",((O73*VLOOKUP(N73,'State eGrid factors'!$E:$M,9,FALSE))+(((O73/(1-EF!$E$34))*EF!$E$29)+(O73*EF!$H$3))/1000+N("electricity emissions + upstream losses on total generation + T&amp;D losses")))</f>
        <v/>
      </c>
      <c r="R73" s="172" t="str">
        <f>IF(P73="","",(P73*('CBECS IFs'!$M$18+'CBECS IFs'!$O$24))/1000)</f>
        <v/>
      </c>
    </row>
    <row r="74" spans="1:18" ht="15">
      <c r="A74" s="272">
        <v>19</v>
      </c>
      <c r="B74" s="276"/>
      <c r="C74" s="276"/>
      <c r="D74" s="277"/>
      <c r="E74" s="157"/>
      <c r="F74" s="824" t="str">
        <f>IF(OR(C74="",D74=""),"",(D74*IF(C74='CBECS IFs'!$B$10,'CBECS IFs'!$C$10,'CBECS IFs'!$C$11)))</f>
        <v/>
      </c>
      <c r="G74" s="824" t="str">
        <f>IF(OR(C74="",D74=""),"",(D74*IF(C74='CBECS IFs'!$B$20,'CBECS IFs'!$D$20,'CBECS IFs'!$D$21)))</f>
        <v/>
      </c>
      <c r="H74" s="172" t="str">
        <f>IF(OR(E74="",F74=""),"",((F74*VLOOKUP(E74,'State eGrid factors'!$E:$M,9,FALSE))+(((F74/(1-EF!$E$34))*EF!$E$29)+(F74*EF!$H$3))/1000+N("electricity emissions + upstream losses on total generation + T&amp;D losses")))</f>
        <v/>
      </c>
      <c r="I74" s="172" t="str">
        <f>IF(G74="","",(G74*('CBECS IFs'!$M$18+'CBECS IFs'!$O$24))/1000)</f>
        <v/>
      </c>
      <c r="K74" s="272">
        <v>19</v>
      </c>
      <c r="L74" s="276"/>
      <c r="M74" s="276"/>
      <c r="N74" s="157"/>
      <c r="O74" s="277"/>
      <c r="P74" s="277"/>
      <c r="Q74" s="172" t="str">
        <f>IF(OR(N74="",O74=""),"",((O74*VLOOKUP(N74,'State eGrid factors'!$E:$M,9,FALSE))+(((O74/(1-EF!$E$34))*EF!$E$29)+(O74*EF!$H$3))/1000+N("electricity emissions + upstream losses on total generation + T&amp;D losses")))</f>
        <v/>
      </c>
      <c r="R74" s="172" t="str">
        <f>IF(P74="","",(P74*('CBECS IFs'!$M$18+'CBECS IFs'!$O$24))/1000)</f>
        <v/>
      </c>
    </row>
    <row r="75" spans="1:18" ht="15.75" thickBot="1">
      <c r="A75" s="272">
        <v>20</v>
      </c>
      <c r="B75" s="276"/>
      <c r="C75" s="276"/>
      <c r="D75" s="277"/>
      <c r="E75" s="157"/>
      <c r="F75" s="824" t="str">
        <f>IF(OR(C75="",D75=""),"",(D75*IF(C75='CBECS IFs'!$B$10,'CBECS IFs'!$C$10,'CBECS IFs'!$C$11)))</f>
        <v/>
      </c>
      <c r="G75" s="824" t="str">
        <f>IF(OR(C75="",D75=""),"",(D75*IF(C75='CBECS IFs'!$B$20,'CBECS IFs'!$D$20,'CBECS IFs'!$D$21)))</f>
        <v/>
      </c>
      <c r="H75" s="172" t="str">
        <f>IF(OR(E75="",F75=""),"",((F75*VLOOKUP(E75,'State eGrid factors'!$E:$M,9,FALSE))+(((F75/(1-EF!$E$34))*EF!$E$29)+(F75*EF!$H$3))/1000+N("electricity emissions + upstream losses on total generation + T&amp;D losses")))</f>
        <v/>
      </c>
      <c r="I75" s="172" t="str">
        <f>IF(G75="","",(G75*('CBECS IFs'!$M$18+'CBECS IFs'!$O$24))/1000)</f>
        <v/>
      </c>
      <c r="K75" s="272">
        <v>20</v>
      </c>
      <c r="L75" s="276"/>
      <c r="M75" s="276"/>
      <c r="N75" s="157"/>
      <c r="O75" s="277"/>
      <c r="P75" s="277"/>
      <c r="Q75" s="172" t="str">
        <f>IF(OR(N75="",O75=""),"",((O75*VLOOKUP(N75,'State eGrid factors'!$E:$M,9,FALSE))+(((O75/(1-EF!$E$34))*EF!$E$29)+(O75*EF!$H$3))/1000+N("electricity emissions + upstream losses on total generation + T&amp;D losses")))</f>
        <v/>
      </c>
      <c r="R75" s="172" t="str">
        <f>IF(P75="","",(P75*('CBECS IFs'!$M$18+'CBECS IFs'!$O$24))/1000)</f>
        <v/>
      </c>
    </row>
    <row r="76" spans="1:18" ht="15" thickBot="1">
      <c r="G76" s="279" t="s">
        <v>1268</v>
      </c>
      <c r="H76" s="179">
        <f>SUM(H57:H75)</f>
        <v>0</v>
      </c>
      <c r="I76" s="179">
        <f>SUM(I57:I75)</f>
        <v>0</v>
      </c>
      <c r="P76" s="279" t="s">
        <v>1268</v>
      </c>
      <c r="Q76" s="179">
        <f>SUM(Q57:Q75)</f>
        <v>0</v>
      </c>
      <c r="R76" s="179">
        <f>SUM(R57:R75)</f>
        <v>0</v>
      </c>
    </row>
    <row r="78" spans="1:18" ht="18.75">
      <c r="A78" s="266" t="s">
        <v>1417</v>
      </c>
      <c r="K78" s="266" t="s">
        <v>1417</v>
      </c>
    </row>
    <row r="79" spans="1:18">
      <c r="A79" s="267" t="s">
        <v>1237</v>
      </c>
      <c r="K79" s="267" t="s">
        <v>1237</v>
      </c>
    </row>
    <row r="80" spans="1:18" ht="8.25" customHeight="1">
      <c r="A80" s="267"/>
      <c r="C80" s="719"/>
      <c r="D80" s="719"/>
      <c r="K80" s="267"/>
      <c r="M80" s="719"/>
    </row>
    <row r="81" spans="1:17">
      <c r="B81" s="53" t="s">
        <v>312</v>
      </c>
      <c r="C81" s="53" t="s">
        <v>312</v>
      </c>
      <c r="D81" s="53" t="s">
        <v>312</v>
      </c>
      <c r="F81" s="269"/>
      <c r="L81" s="53" t="s">
        <v>312</v>
      </c>
      <c r="M81" s="53" t="s">
        <v>312</v>
      </c>
      <c r="N81" s="53" t="s">
        <v>312</v>
      </c>
      <c r="O81" s="53" t="s">
        <v>312</v>
      </c>
    </row>
    <row r="82" spans="1:17" ht="60">
      <c r="A82" s="270" t="s">
        <v>1238</v>
      </c>
      <c r="B82" s="271" t="s">
        <v>319</v>
      </c>
      <c r="C82" s="288" t="s">
        <v>1411</v>
      </c>
      <c r="D82" s="215" t="s">
        <v>4055</v>
      </c>
      <c r="E82" s="288" t="s">
        <v>1412</v>
      </c>
      <c r="F82" s="288" t="s">
        <v>1413</v>
      </c>
      <c r="G82" s="288" t="s">
        <v>4056</v>
      </c>
      <c r="H82" s="288" t="s">
        <v>4057</v>
      </c>
      <c r="K82" s="270" t="s">
        <v>1238</v>
      </c>
      <c r="L82" s="271" t="s">
        <v>319</v>
      </c>
      <c r="M82" s="215" t="s">
        <v>4055</v>
      </c>
      <c r="N82" s="270" t="s">
        <v>1412</v>
      </c>
      <c r="O82" s="270" t="s">
        <v>1413</v>
      </c>
      <c r="P82" s="288" t="s">
        <v>4056</v>
      </c>
      <c r="Q82" s="288" t="s">
        <v>4057</v>
      </c>
    </row>
    <row r="83" spans="1:17" ht="15">
      <c r="A83" s="272">
        <v>1</v>
      </c>
      <c r="B83" s="273" t="s">
        <v>1418</v>
      </c>
      <c r="C83" s="274">
        <v>5000</v>
      </c>
      <c r="D83" s="147" t="s">
        <v>1396</v>
      </c>
      <c r="E83" s="275">
        <f>IF(C83="","",C83*'CBECS IFs'!$C$8)</f>
        <v>144000</v>
      </c>
      <c r="F83" s="275">
        <f>IF(C83="","",C83*'CBECS IFs'!$D$18)</f>
        <v>4027.9214064115827</v>
      </c>
      <c r="G83" s="171">
        <f>IF(OR(D83="",E83=""),"",((E83*VLOOKUP(D83,'State eGrid factors'!$E:$M,9,FALSE))+(((E83/(1-EF!$E$34))*EF!$E$29)+(E83*EF!$H$3))/1000+N("electricity emissions + upstream losses on total generation + T&amp;D losses")))</f>
        <v>79.111010983717279</v>
      </c>
      <c r="H83" s="171">
        <f>IF(F83="","",(F83*('CBECS IFs'!$M$18+'CBECS IFs'!$O$24))/1000)</f>
        <v>25.160353062176327</v>
      </c>
      <c r="K83" s="272">
        <v>1</v>
      </c>
      <c r="L83" s="273" t="s">
        <v>1418</v>
      </c>
      <c r="M83" s="147" t="s">
        <v>1396</v>
      </c>
      <c r="N83" s="274">
        <v>120000</v>
      </c>
      <c r="O83" s="274">
        <v>3700</v>
      </c>
      <c r="P83" s="171">
        <f>IF(OR(M83="",N83=""),"",((N83*VLOOKUP(M83,'State eGrid factors'!$E:$M,9,FALSE))+(((N83/(1-EF!$E$34))*EF!$E$29)+(N83*EF!$H$3))/1000+N("electricity emissions + upstream losses on total generation + T&amp;D losses")))</f>
        <v>65.925842486431065</v>
      </c>
      <c r="Q83" s="171">
        <f>IF(O83="","",(O83*('CBECS IFs'!$M$18+'CBECS IFs'!$O$24))/1000)</f>
        <v>23.111996719168335</v>
      </c>
    </row>
    <row r="84" spans="1:17" ht="15">
      <c r="A84" s="272">
        <v>2</v>
      </c>
      <c r="B84" s="276"/>
      <c r="C84" s="277"/>
      <c r="D84" s="157"/>
      <c r="E84" s="278" t="str">
        <f>IF(C84="","",C84*'CBECS IFs'!$C$8)</f>
        <v/>
      </c>
      <c r="F84" s="278" t="str">
        <f>IF(C84="","",C84*'CBECS IFs'!$D$18)</f>
        <v/>
      </c>
      <c r="G84" s="172" t="str">
        <f>IF(OR(D84="",E84=""),"",((E84*VLOOKUP(D84,'State eGrid factors'!$E:$M,9,FALSE))+(((E84/(1-EF!$E$34))*EF!$E$29)+(E84*EF!$H$3))/1000+N("electricity emissions + upstream losses on total generation + T&amp;D losses")))</f>
        <v/>
      </c>
      <c r="H84" s="172" t="str">
        <f>IF(F84="","",(F84*('CBECS IFs'!$M$18+'CBECS IFs'!$O$24))/1000)</f>
        <v/>
      </c>
      <c r="K84" s="272">
        <v>2</v>
      </c>
      <c r="L84" s="276"/>
      <c r="M84" s="157"/>
      <c r="N84" s="277"/>
      <c r="O84" s="277"/>
      <c r="P84" s="172" t="str">
        <f>IF(OR(M84="",N84=""),"",((N84*VLOOKUP(M84,'State eGrid factors'!$E:$M,9,FALSE))+(((N84/(1-EF!$E$34))*EF!$E$29)+(N84*EF!$H$3))/1000+N("electricity emissions + upstream losses on total generation + T&amp;D losses")))</f>
        <v/>
      </c>
      <c r="Q84" s="172" t="str">
        <f>IF(O84="","",(O84*('CBECS IFs'!$M$18+'CBECS IFs'!$O$24))/1000)</f>
        <v/>
      </c>
    </row>
    <row r="85" spans="1:17" ht="15">
      <c r="A85" s="272">
        <v>3</v>
      </c>
      <c r="B85" s="276"/>
      <c r="C85" s="277"/>
      <c r="D85" s="157"/>
      <c r="E85" s="278" t="str">
        <f>IF(C85="","",C85*'CBECS IFs'!$C$8)</f>
        <v/>
      </c>
      <c r="F85" s="278" t="str">
        <f>IF(C85="","",C85*'CBECS IFs'!$D$18)</f>
        <v/>
      </c>
      <c r="G85" s="172" t="str">
        <f>IF(OR(D85="",E85=""),"",((E85*VLOOKUP(D85,'State eGrid factors'!$E:$M,9,FALSE))+(((E85/(1-EF!$E$34))*EF!$E$29)+(E85*EF!$H$3))/1000+N("electricity emissions + upstream losses on total generation + T&amp;D losses")))</f>
        <v/>
      </c>
      <c r="H85" s="172" t="str">
        <f>IF(F85="","",(F85*('CBECS IFs'!$M$18+'CBECS IFs'!$O$24))/1000)</f>
        <v/>
      </c>
      <c r="K85" s="272">
        <v>3</v>
      </c>
      <c r="L85" s="276"/>
      <c r="M85" s="157"/>
      <c r="N85" s="277"/>
      <c r="O85" s="277"/>
      <c r="P85" s="172" t="str">
        <f>IF(OR(M85="",N85=""),"",((N85*VLOOKUP(M85,'State eGrid factors'!$E:$M,9,FALSE))+(((N85/(1-EF!$E$34))*EF!$E$29)+(N85*EF!$H$3))/1000+N("electricity emissions + upstream losses on total generation + T&amp;D losses")))</f>
        <v/>
      </c>
      <c r="Q85" s="172" t="str">
        <f>IF(O85="","",(O85*('CBECS IFs'!$M$18+'CBECS IFs'!$O$24))/1000)</f>
        <v/>
      </c>
    </row>
    <row r="86" spans="1:17" ht="15">
      <c r="A86" s="272">
        <v>4</v>
      </c>
      <c r="B86" s="276"/>
      <c r="C86" s="277"/>
      <c r="D86" s="157"/>
      <c r="E86" s="278" t="str">
        <f>IF(C86="","",C86*'CBECS IFs'!$C$8)</f>
        <v/>
      </c>
      <c r="F86" s="278" t="str">
        <f>IF(C86="","",C86*'CBECS IFs'!$D$18)</f>
        <v/>
      </c>
      <c r="G86" s="172" t="str">
        <f>IF(OR(D86="",E86=""),"",((E86*VLOOKUP(D86,'State eGrid factors'!$E:$M,9,FALSE))+(((E86/(1-EF!$E$34))*EF!$E$29)+(E86*EF!$H$3))/1000+N("electricity emissions + upstream losses on total generation + T&amp;D losses")))</f>
        <v/>
      </c>
      <c r="H86" s="172" t="str">
        <f>IF(F86="","",(F86*('CBECS IFs'!$M$18+'CBECS IFs'!$O$24))/1000)</f>
        <v/>
      </c>
      <c r="K86" s="272">
        <v>4</v>
      </c>
      <c r="L86" s="276"/>
      <c r="M86" s="157"/>
      <c r="N86" s="277"/>
      <c r="O86" s="277"/>
      <c r="P86" s="172" t="str">
        <f>IF(OR(M86="",N86=""),"",((N86*VLOOKUP(M86,'State eGrid factors'!$E:$M,9,FALSE))+(((N86/(1-EF!$E$34))*EF!$E$29)+(N86*EF!$H$3))/1000+N("electricity emissions + upstream losses on total generation + T&amp;D losses")))</f>
        <v/>
      </c>
      <c r="Q86" s="172" t="str">
        <f>IF(O86="","",(O86*('CBECS IFs'!$M$18+'CBECS IFs'!$O$24))/1000)</f>
        <v/>
      </c>
    </row>
    <row r="87" spans="1:17" ht="15">
      <c r="A87" s="272">
        <v>5</v>
      </c>
      <c r="B87" s="276"/>
      <c r="C87" s="277"/>
      <c r="D87" s="157"/>
      <c r="E87" s="278" t="str">
        <f>IF(C87="","",C87*'CBECS IFs'!$C$8)</f>
        <v/>
      </c>
      <c r="F87" s="278" t="str">
        <f>IF(C87="","",C87*'CBECS IFs'!$D$18)</f>
        <v/>
      </c>
      <c r="G87" s="172" t="str">
        <f>IF(OR(D87="",E87=""),"",((E87*VLOOKUP(D87,'State eGrid factors'!$E:$M,9,FALSE))+(((E87/(1-EF!$E$34))*EF!$E$29)+(E87*EF!$H$3))/1000+N("electricity emissions + upstream losses on total generation + T&amp;D losses")))</f>
        <v/>
      </c>
      <c r="H87" s="172" t="str">
        <f>IF(F87="","",(F87*('CBECS IFs'!$M$18+'CBECS IFs'!$O$24))/1000)</f>
        <v/>
      </c>
      <c r="K87" s="272">
        <v>5</v>
      </c>
      <c r="L87" s="276"/>
      <c r="M87" s="157"/>
      <c r="N87" s="277"/>
      <c r="O87" s="277"/>
      <c r="P87" s="172" t="str">
        <f>IF(OR(M87="",N87=""),"",((N87*VLOOKUP(M87,'State eGrid factors'!$E:$M,9,FALSE))+(((N87/(1-EF!$E$34))*EF!$E$29)+(N87*EF!$H$3))/1000+N("electricity emissions + upstream losses on total generation + T&amp;D losses")))</f>
        <v/>
      </c>
      <c r="Q87" s="172" t="str">
        <f>IF(O87="","",(O87*('CBECS IFs'!$M$18+'CBECS IFs'!$O$24))/1000)</f>
        <v/>
      </c>
    </row>
    <row r="88" spans="1:17" ht="15">
      <c r="A88" s="272">
        <v>6</v>
      </c>
      <c r="B88" s="276"/>
      <c r="C88" s="277"/>
      <c r="D88" s="157"/>
      <c r="E88" s="278" t="str">
        <f>IF(C88="","",C88*'CBECS IFs'!$C$8)</f>
        <v/>
      </c>
      <c r="F88" s="278" t="str">
        <f>IF(C88="","",C88*'CBECS IFs'!$D$18)</f>
        <v/>
      </c>
      <c r="G88" s="172" t="str">
        <f>IF(OR(D88="",E88=""),"",((E88*VLOOKUP(D88,'State eGrid factors'!$E:$M,9,FALSE))+(((E88/(1-EF!$E$34))*EF!$E$29)+(E88*EF!$H$3))/1000+N("electricity emissions + upstream losses on total generation + T&amp;D losses")))</f>
        <v/>
      </c>
      <c r="H88" s="172" t="str">
        <f>IF(F88="","",(F88*('CBECS IFs'!$M$18+'CBECS IFs'!$O$24))/1000)</f>
        <v/>
      </c>
      <c r="K88" s="272">
        <v>6</v>
      </c>
      <c r="L88" s="276"/>
      <c r="M88" s="157"/>
      <c r="N88" s="277"/>
      <c r="O88" s="277"/>
      <c r="P88" s="172" t="str">
        <f>IF(OR(M88="",N88=""),"",((N88*VLOOKUP(M88,'State eGrid factors'!$E:$M,9,FALSE))+(((N88/(1-EF!$E$34))*EF!$E$29)+(N88*EF!$H$3))/1000+N("electricity emissions + upstream losses on total generation + T&amp;D losses")))</f>
        <v/>
      </c>
      <c r="Q88" s="172" t="str">
        <f>IF(O88="","",(O88*('CBECS IFs'!$M$18+'CBECS IFs'!$O$24))/1000)</f>
        <v/>
      </c>
    </row>
    <row r="89" spans="1:17" ht="15">
      <c r="A89" s="272">
        <v>7</v>
      </c>
      <c r="B89" s="276"/>
      <c r="C89" s="277"/>
      <c r="D89" s="157"/>
      <c r="E89" s="278" t="str">
        <f>IF(C89="","",C89*'CBECS IFs'!$C$8)</f>
        <v/>
      </c>
      <c r="F89" s="278" t="str">
        <f>IF(C89="","",C89*'CBECS IFs'!$D$18)</f>
        <v/>
      </c>
      <c r="G89" s="172" t="str">
        <f>IF(OR(D89="",E89=""),"",((E89*VLOOKUP(D89,'State eGrid factors'!$E:$M,9,FALSE))+(((E89/(1-EF!$E$34))*EF!$E$29)+(E89*EF!$H$3))/1000+N("electricity emissions + upstream losses on total generation + T&amp;D losses")))</f>
        <v/>
      </c>
      <c r="H89" s="172" t="str">
        <f>IF(F89="","",(F89*('CBECS IFs'!$M$18+'CBECS IFs'!$O$24))/1000)</f>
        <v/>
      </c>
      <c r="K89" s="272">
        <v>7</v>
      </c>
      <c r="L89" s="276"/>
      <c r="M89" s="157"/>
      <c r="N89" s="277"/>
      <c r="O89" s="277"/>
      <c r="P89" s="172" t="str">
        <f>IF(OR(M89="",N89=""),"",((N89*VLOOKUP(M89,'State eGrid factors'!$E:$M,9,FALSE))+(((N89/(1-EF!$E$34))*EF!$E$29)+(N89*EF!$H$3))/1000+N("electricity emissions + upstream losses on total generation + T&amp;D losses")))</f>
        <v/>
      </c>
      <c r="Q89" s="172" t="str">
        <f>IF(O89="","",(O89*('CBECS IFs'!$M$18+'CBECS IFs'!$O$24))/1000)</f>
        <v/>
      </c>
    </row>
    <row r="90" spans="1:17" ht="15">
      <c r="A90" s="272">
        <v>8</v>
      </c>
      <c r="B90" s="276"/>
      <c r="C90" s="277"/>
      <c r="D90" s="157"/>
      <c r="E90" s="278" t="str">
        <f>IF(C90="","",C90*'CBECS IFs'!$C$8)</f>
        <v/>
      </c>
      <c r="F90" s="278" t="str">
        <f>IF(C90="","",C90*'CBECS IFs'!$D$18)</f>
        <v/>
      </c>
      <c r="G90" s="172" t="str">
        <f>IF(OR(D90="",E90=""),"",((E90*VLOOKUP(D90,'State eGrid factors'!$E:$M,9,FALSE))+(((E90/(1-EF!$E$34))*EF!$E$29)+(E90*EF!$H$3))/1000+N("electricity emissions + upstream losses on total generation + T&amp;D losses")))</f>
        <v/>
      </c>
      <c r="H90" s="172" t="str">
        <f>IF(F90="","",(F90*('CBECS IFs'!$M$18+'CBECS IFs'!$O$24))/1000)</f>
        <v/>
      </c>
      <c r="K90" s="272">
        <v>8</v>
      </c>
      <c r="L90" s="276"/>
      <c r="M90" s="157"/>
      <c r="N90" s="277"/>
      <c r="O90" s="277"/>
      <c r="P90" s="172" t="str">
        <f>IF(OR(M90="",N90=""),"",((N90*VLOOKUP(M90,'State eGrid factors'!$E:$M,9,FALSE))+(((N90/(1-EF!$E$34))*EF!$E$29)+(N90*EF!$H$3))/1000+N("electricity emissions + upstream losses on total generation + T&amp;D losses")))</f>
        <v/>
      </c>
      <c r="Q90" s="172" t="str">
        <f>IF(O90="","",(O90*('CBECS IFs'!$M$18+'CBECS IFs'!$O$24))/1000)</f>
        <v/>
      </c>
    </row>
    <row r="91" spans="1:17" ht="15">
      <c r="A91" s="272">
        <v>9</v>
      </c>
      <c r="B91" s="276"/>
      <c r="C91" s="277"/>
      <c r="D91" s="157"/>
      <c r="E91" s="278" t="str">
        <f>IF(C91="","",C91*'CBECS IFs'!$C$8)</f>
        <v/>
      </c>
      <c r="F91" s="278" t="str">
        <f>IF(C91="","",C91*'CBECS IFs'!$D$18)</f>
        <v/>
      </c>
      <c r="G91" s="172" t="str">
        <f>IF(OR(D91="",E91=""),"",((E91*VLOOKUP(D91,'State eGrid factors'!$E:$M,9,FALSE))+(((E91/(1-EF!$E$34))*EF!$E$29)+(E91*EF!$H$3))/1000+N("electricity emissions + upstream losses on total generation + T&amp;D losses")))</f>
        <v/>
      </c>
      <c r="H91" s="172" t="str">
        <f>IF(F91="","",(F91*('CBECS IFs'!$M$18+'CBECS IFs'!$O$24))/1000)</f>
        <v/>
      </c>
      <c r="K91" s="272">
        <v>9</v>
      </c>
      <c r="L91" s="276"/>
      <c r="M91" s="157"/>
      <c r="N91" s="277"/>
      <c r="O91" s="277"/>
      <c r="P91" s="172" t="str">
        <f>IF(OR(M91="",N91=""),"",((N91*VLOOKUP(M91,'State eGrid factors'!$E:$M,9,FALSE))+(((N91/(1-EF!$E$34))*EF!$E$29)+(N91*EF!$H$3))/1000+N("electricity emissions + upstream losses on total generation + T&amp;D losses")))</f>
        <v/>
      </c>
      <c r="Q91" s="172" t="str">
        <f>IF(O91="","",(O91*('CBECS IFs'!$M$18+'CBECS IFs'!$O$24))/1000)</f>
        <v/>
      </c>
    </row>
    <row r="92" spans="1:17" ht="15">
      <c r="A92" s="272">
        <v>10</v>
      </c>
      <c r="B92" s="276"/>
      <c r="C92" s="277"/>
      <c r="D92" s="157"/>
      <c r="E92" s="278" t="str">
        <f>IF(C92="","",C92*'CBECS IFs'!$C$8)</f>
        <v/>
      </c>
      <c r="F92" s="278" t="str">
        <f>IF(C92="","",C92*'CBECS IFs'!$D$18)</f>
        <v/>
      </c>
      <c r="G92" s="172" t="str">
        <f>IF(OR(D92="",E92=""),"",((E92*VLOOKUP(D92,'State eGrid factors'!$E:$M,9,FALSE))+(((E92/(1-EF!$E$34))*EF!$E$29)+(E92*EF!$H$3))/1000+N("electricity emissions + upstream losses on total generation + T&amp;D losses")))</f>
        <v/>
      </c>
      <c r="H92" s="172" t="str">
        <f>IF(F92="","",(F92*('CBECS IFs'!$M$18+'CBECS IFs'!$O$24))/1000)</f>
        <v/>
      </c>
      <c r="K92" s="272">
        <v>10</v>
      </c>
      <c r="L92" s="276"/>
      <c r="M92" s="157"/>
      <c r="N92" s="277"/>
      <c r="O92" s="277"/>
      <c r="P92" s="172" t="str">
        <f>IF(OR(M92="",N92=""),"",((N92*VLOOKUP(M92,'State eGrid factors'!$E:$M,9,FALSE))+(((N92/(1-EF!$E$34))*EF!$E$29)+(N92*EF!$H$3))/1000+N("electricity emissions + upstream losses on total generation + T&amp;D losses")))</f>
        <v/>
      </c>
      <c r="Q92" s="172" t="str">
        <f>IF(O92="","",(O92*('CBECS IFs'!$M$18+'CBECS IFs'!$O$24))/1000)</f>
        <v/>
      </c>
    </row>
    <row r="93" spans="1:17" ht="15">
      <c r="A93" s="272">
        <v>11</v>
      </c>
      <c r="B93" s="276"/>
      <c r="C93" s="277"/>
      <c r="D93" s="157"/>
      <c r="E93" s="278" t="str">
        <f>IF(C93="","",C93*'CBECS IFs'!$C$8)</f>
        <v/>
      </c>
      <c r="F93" s="278" t="str">
        <f>IF(C93="","",C93*'CBECS IFs'!$D$18)</f>
        <v/>
      </c>
      <c r="G93" s="172" t="str">
        <f>IF(OR(D93="",E93=""),"",((E93*VLOOKUP(D93,'State eGrid factors'!$E:$M,9,FALSE))+(((E93/(1-EF!$E$34))*EF!$E$29)+(E93*EF!$H$3))/1000+N("electricity emissions + upstream losses on total generation + T&amp;D losses")))</f>
        <v/>
      </c>
      <c r="H93" s="172" t="str">
        <f>IF(F93="","",(F93*('CBECS IFs'!$M$18+'CBECS IFs'!$O$24))/1000)</f>
        <v/>
      </c>
      <c r="K93" s="272">
        <v>11</v>
      </c>
      <c r="L93" s="276"/>
      <c r="M93" s="157"/>
      <c r="N93" s="277"/>
      <c r="O93" s="277"/>
      <c r="P93" s="172" t="str">
        <f>IF(OR(M93="",N93=""),"",((N93*VLOOKUP(M93,'State eGrid factors'!$E:$M,9,FALSE))+(((N93/(1-EF!$E$34))*EF!$E$29)+(N93*EF!$H$3))/1000+N("electricity emissions + upstream losses on total generation + T&amp;D losses")))</f>
        <v/>
      </c>
      <c r="Q93" s="172" t="str">
        <f>IF(O93="","",(O93*('CBECS IFs'!$M$18+'CBECS IFs'!$O$24))/1000)</f>
        <v/>
      </c>
    </row>
    <row r="94" spans="1:17" ht="15">
      <c r="A94" s="272">
        <v>12</v>
      </c>
      <c r="B94" s="276"/>
      <c r="C94" s="277"/>
      <c r="D94" s="157"/>
      <c r="E94" s="278" t="str">
        <f>IF(C94="","",C94*'CBECS IFs'!$C$8)</f>
        <v/>
      </c>
      <c r="F94" s="278" t="str">
        <f>IF(C94="","",C94*'CBECS IFs'!$D$18)</f>
        <v/>
      </c>
      <c r="G94" s="172" t="str">
        <f>IF(OR(D94="",E94=""),"",((E94*VLOOKUP(D94,'State eGrid factors'!$E:$M,9,FALSE))+(((E94/(1-EF!$E$34))*EF!$E$29)+(E94*EF!$H$3))/1000+N("electricity emissions + upstream losses on total generation + T&amp;D losses")))</f>
        <v/>
      </c>
      <c r="H94" s="172" t="str">
        <f>IF(F94="","",(F94*('CBECS IFs'!$M$18+'CBECS IFs'!$O$24))/1000)</f>
        <v/>
      </c>
      <c r="K94" s="272">
        <v>12</v>
      </c>
      <c r="L94" s="276"/>
      <c r="M94" s="157"/>
      <c r="N94" s="277"/>
      <c r="O94" s="277"/>
      <c r="P94" s="172" t="str">
        <f>IF(OR(M94="",N94=""),"",((N94*VLOOKUP(M94,'State eGrid factors'!$E:$M,9,FALSE))+(((N94/(1-EF!$E$34))*EF!$E$29)+(N94*EF!$H$3))/1000+N("electricity emissions + upstream losses on total generation + T&amp;D losses")))</f>
        <v/>
      </c>
      <c r="Q94" s="172" t="str">
        <f>IF(O94="","",(O94*('CBECS IFs'!$M$18+'CBECS IFs'!$O$24))/1000)</f>
        <v/>
      </c>
    </row>
    <row r="95" spans="1:17" ht="15">
      <c r="A95" s="272">
        <v>13</v>
      </c>
      <c r="B95" s="276"/>
      <c r="C95" s="277"/>
      <c r="D95" s="157"/>
      <c r="E95" s="278" t="str">
        <f>IF(C95="","",C95*'CBECS IFs'!$C$8)</f>
        <v/>
      </c>
      <c r="F95" s="278" t="str">
        <f>IF(C95="","",C95*'CBECS IFs'!$D$18)</f>
        <v/>
      </c>
      <c r="G95" s="172" t="str">
        <f>IF(OR(D95="",E95=""),"",((E95*VLOOKUP(D95,'State eGrid factors'!$E:$M,9,FALSE))+(((E95/(1-EF!$E$34))*EF!$E$29)+(E95*EF!$H$3))/1000+N("electricity emissions + upstream losses on total generation + T&amp;D losses")))</f>
        <v/>
      </c>
      <c r="H95" s="172" t="str">
        <f>IF(F95="","",(F95*('CBECS IFs'!$M$18+'CBECS IFs'!$O$24))/1000)</f>
        <v/>
      </c>
      <c r="K95" s="272">
        <v>13</v>
      </c>
      <c r="L95" s="276"/>
      <c r="M95" s="157"/>
      <c r="N95" s="277"/>
      <c r="O95" s="277"/>
      <c r="P95" s="172" t="str">
        <f>IF(OR(M95="",N95=""),"",((N95*VLOOKUP(M95,'State eGrid factors'!$E:$M,9,FALSE))+(((N95/(1-EF!$E$34))*EF!$E$29)+(N95*EF!$H$3))/1000+N("electricity emissions + upstream losses on total generation + T&amp;D losses")))</f>
        <v/>
      </c>
      <c r="Q95" s="172" t="str">
        <f>IF(O95="","",(O95*('CBECS IFs'!$M$18+'CBECS IFs'!$O$24))/1000)</f>
        <v/>
      </c>
    </row>
    <row r="96" spans="1:17" ht="15">
      <c r="A96" s="272">
        <v>14</v>
      </c>
      <c r="B96" s="276"/>
      <c r="C96" s="277"/>
      <c r="D96" s="157"/>
      <c r="E96" s="278" t="str">
        <f>IF(C96="","",C96*'CBECS IFs'!$C$8)</f>
        <v/>
      </c>
      <c r="F96" s="278" t="str">
        <f>IF(C96="","",C96*'CBECS IFs'!$D$18)</f>
        <v/>
      </c>
      <c r="G96" s="172" t="str">
        <f>IF(OR(D96="",E96=""),"",((E96*VLOOKUP(D96,'State eGrid factors'!$E:$M,9,FALSE))+(((E96/(1-EF!$E$34))*EF!$E$29)+(E96*EF!$H$3))/1000+N("electricity emissions + upstream losses on total generation + T&amp;D losses")))</f>
        <v/>
      </c>
      <c r="H96" s="172" t="str">
        <f>IF(F96="","",(F96*('CBECS IFs'!$M$18+'CBECS IFs'!$O$24))/1000)</f>
        <v/>
      </c>
      <c r="K96" s="272">
        <v>14</v>
      </c>
      <c r="L96" s="276"/>
      <c r="M96" s="157"/>
      <c r="N96" s="277"/>
      <c r="O96" s="277"/>
      <c r="P96" s="172" t="str">
        <f>IF(OR(M96="",N96=""),"",((N96*VLOOKUP(M96,'State eGrid factors'!$E:$M,9,FALSE))+(((N96/(1-EF!$E$34))*EF!$E$29)+(N96*EF!$H$3))/1000+N("electricity emissions + upstream losses on total generation + T&amp;D losses")))</f>
        <v/>
      </c>
      <c r="Q96" s="172" t="str">
        <f>IF(O96="","",(O96*('CBECS IFs'!$M$18+'CBECS IFs'!$O$24))/1000)</f>
        <v/>
      </c>
    </row>
    <row r="97" spans="1:18" ht="15">
      <c r="A97" s="272">
        <v>15</v>
      </c>
      <c r="B97" s="276"/>
      <c r="C97" s="277"/>
      <c r="D97" s="157"/>
      <c r="E97" s="278" t="str">
        <f>IF(C97="","",C97*'CBECS IFs'!$C$8)</f>
        <v/>
      </c>
      <c r="F97" s="278" t="str">
        <f>IF(C97="","",C97*'CBECS IFs'!$D$18)</f>
        <v/>
      </c>
      <c r="G97" s="172" t="str">
        <f>IF(OR(D97="",E97=""),"",((E97*VLOOKUP(D97,'State eGrid factors'!$E:$M,9,FALSE))+(((E97/(1-EF!$E$34))*EF!$E$29)+(E97*EF!$H$3))/1000+N("electricity emissions + upstream losses on total generation + T&amp;D losses")))</f>
        <v/>
      </c>
      <c r="H97" s="172" t="str">
        <f>IF(F97="","",(F97*('CBECS IFs'!$M$18+'CBECS IFs'!$O$24))/1000)</f>
        <v/>
      </c>
      <c r="K97" s="272">
        <v>15</v>
      </c>
      <c r="L97" s="276"/>
      <c r="M97" s="157"/>
      <c r="N97" s="277"/>
      <c r="O97" s="277"/>
      <c r="P97" s="172" t="str">
        <f>IF(OR(M97="",N97=""),"",((N97*VLOOKUP(M97,'State eGrid factors'!$E:$M,9,FALSE))+(((N97/(1-EF!$E$34))*EF!$E$29)+(N97*EF!$H$3))/1000+N("electricity emissions + upstream losses on total generation + T&amp;D losses")))</f>
        <v/>
      </c>
      <c r="Q97" s="172" t="str">
        <f>IF(O97="","",(O97*('CBECS IFs'!$M$18+'CBECS IFs'!$O$24))/1000)</f>
        <v/>
      </c>
    </row>
    <row r="98" spans="1:18" ht="15">
      <c r="A98" s="272">
        <v>16</v>
      </c>
      <c r="B98" s="276"/>
      <c r="C98" s="277"/>
      <c r="D98" s="157"/>
      <c r="E98" s="278" t="str">
        <f>IF(C98="","",C98*'CBECS IFs'!$C$8)</f>
        <v/>
      </c>
      <c r="F98" s="278" t="str">
        <f>IF(C98="","",C98*'CBECS IFs'!$D$18)</f>
        <v/>
      </c>
      <c r="G98" s="172" t="str">
        <f>IF(OR(D98="",E98=""),"",((E98*VLOOKUP(D98,'State eGrid factors'!$E:$M,9,FALSE))+(((E98/(1-EF!$E$34))*EF!$E$29)+(E98*EF!$H$3))/1000+N("electricity emissions + upstream losses on total generation + T&amp;D losses")))</f>
        <v/>
      </c>
      <c r="H98" s="172" t="str">
        <f>IF(F98="","",(F98*('CBECS IFs'!$M$18+'CBECS IFs'!$O$24))/1000)</f>
        <v/>
      </c>
      <c r="K98" s="272">
        <v>16</v>
      </c>
      <c r="L98" s="276"/>
      <c r="M98" s="157"/>
      <c r="N98" s="277"/>
      <c r="O98" s="277"/>
      <c r="P98" s="172" t="str">
        <f>IF(OR(M98="",N98=""),"",((N98*VLOOKUP(M98,'State eGrid factors'!$E:$M,9,FALSE))+(((N98/(1-EF!$E$34))*EF!$E$29)+(N98*EF!$H$3))/1000+N("electricity emissions + upstream losses on total generation + T&amp;D losses")))</f>
        <v/>
      </c>
      <c r="Q98" s="172" t="str">
        <f>IF(O98="","",(O98*('CBECS IFs'!$M$18+'CBECS IFs'!$O$24))/1000)</f>
        <v/>
      </c>
    </row>
    <row r="99" spans="1:18" ht="15">
      <c r="A99" s="272">
        <v>17</v>
      </c>
      <c r="B99" s="276"/>
      <c r="C99" s="277"/>
      <c r="D99" s="157"/>
      <c r="E99" s="278" t="str">
        <f>IF(C99="","",C99*'CBECS IFs'!$C$8)</f>
        <v/>
      </c>
      <c r="F99" s="278" t="str">
        <f>IF(C99="","",C99*'CBECS IFs'!$D$18)</f>
        <v/>
      </c>
      <c r="G99" s="172" t="str">
        <f>IF(OR(D99="",E99=""),"",((E99*VLOOKUP(D99,'State eGrid factors'!$E:$M,9,FALSE))+(((E99/(1-EF!$E$34))*EF!$E$29)+(E99*EF!$H$3))/1000+N("electricity emissions + upstream losses on total generation + T&amp;D losses")))</f>
        <v/>
      </c>
      <c r="H99" s="172" t="str">
        <f>IF(F99="","",(F99*('CBECS IFs'!$M$18+'CBECS IFs'!$O$24))/1000)</f>
        <v/>
      </c>
      <c r="K99" s="272">
        <v>17</v>
      </c>
      <c r="L99" s="276"/>
      <c r="M99" s="157"/>
      <c r="N99" s="277"/>
      <c r="O99" s="277"/>
      <c r="P99" s="172" t="str">
        <f>IF(OR(M99="",N99=""),"",((N99*VLOOKUP(M99,'State eGrid factors'!$E:$M,9,FALSE))+(((N99/(1-EF!$E$34))*EF!$E$29)+(N99*EF!$H$3))/1000+N("electricity emissions + upstream losses on total generation + T&amp;D losses")))</f>
        <v/>
      </c>
      <c r="Q99" s="172" t="str">
        <f>IF(O99="","",(O99*('CBECS IFs'!$M$18+'CBECS IFs'!$O$24))/1000)</f>
        <v/>
      </c>
    </row>
    <row r="100" spans="1:18" ht="15">
      <c r="A100" s="272">
        <v>18</v>
      </c>
      <c r="B100" s="276"/>
      <c r="C100" s="277"/>
      <c r="D100" s="157"/>
      <c r="E100" s="278" t="str">
        <f>IF(C100="","",C100*'CBECS IFs'!$C$8)</f>
        <v/>
      </c>
      <c r="F100" s="278" t="str">
        <f>IF(C100="","",C100*'CBECS IFs'!$D$18)</f>
        <v/>
      </c>
      <c r="G100" s="172" t="str">
        <f>IF(OR(D100="",E100=""),"",((E100*VLOOKUP(D100,'State eGrid factors'!$E:$M,9,FALSE))+(((E100/(1-EF!$E$34))*EF!$E$29)+(E100*EF!$H$3))/1000+N("electricity emissions + upstream losses on total generation + T&amp;D losses")))</f>
        <v/>
      </c>
      <c r="H100" s="172" t="str">
        <f>IF(F100="","",(F100*('CBECS IFs'!$M$18+'CBECS IFs'!$O$24))/1000)</f>
        <v/>
      </c>
      <c r="K100" s="272">
        <v>18</v>
      </c>
      <c r="L100" s="276"/>
      <c r="M100" s="157"/>
      <c r="N100" s="277"/>
      <c r="O100" s="277"/>
      <c r="P100" s="172" t="str">
        <f>IF(OR(M100="",N100=""),"",((N100*VLOOKUP(M100,'State eGrid factors'!$E:$M,9,FALSE))+(((N100/(1-EF!$E$34))*EF!$E$29)+(N100*EF!$H$3))/1000+N("electricity emissions + upstream losses on total generation + T&amp;D losses")))</f>
        <v/>
      </c>
      <c r="Q100" s="172" t="str">
        <f>IF(O100="","",(O100*('CBECS IFs'!$M$18+'CBECS IFs'!$O$24))/1000)</f>
        <v/>
      </c>
    </row>
    <row r="101" spans="1:18" ht="15">
      <c r="A101" s="272">
        <v>19</v>
      </c>
      <c r="B101" s="276"/>
      <c r="C101" s="277"/>
      <c r="D101" s="157"/>
      <c r="E101" s="278" t="str">
        <f>IF(C101="","",C101*'CBECS IFs'!$C$8)</f>
        <v/>
      </c>
      <c r="F101" s="278" t="str">
        <f>IF(C101="","",C101*'CBECS IFs'!$D$18)</f>
        <v/>
      </c>
      <c r="G101" s="172" t="str">
        <f>IF(OR(D101="",E101=""),"",((E101*VLOOKUP(D101,'State eGrid factors'!$E:$M,9,FALSE))+(((E101/(1-EF!$E$34))*EF!$E$29)+(E101*EF!$H$3))/1000+N("electricity emissions + upstream losses on total generation + T&amp;D losses")))</f>
        <v/>
      </c>
      <c r="H101" s="172" t="str">
        <f>IF(F101="","",(F101*('CBECS IFs'!$M$18+'CBECS IFs'!$O$24))/1000)</f>
        <v/>
      </c>
      <c r="K101" s="272">
        <v>19</v>
      </c>
      <c r="L101" s="276"/>
      <c r="M101" s="157"/>
      <c r="N101" s="277"/>
      <c r="O101" s="277"/>
      <c r="P101" s="172" t="str">
        <f>IF(OR(M101="",N101=""),"",((N101*VLOOKUP(M101,'State eGrid factors'!$E:$M,9,FALSE))+(((N101/(1-EF!$E$34))*EF!$E$29)+(N101*EF!$H$3))/1000+N("electricity emissions + upstream losses on total generation + T&amp;D losses")))</f>
        <v/>
      </c>
      <c r="Q101" s="172" t="str">
        <f>IF(O101="","",(O101*('CBECS IFs'!$M$18+'CBECS IFs'!$O$24))/1000)</f>
        <v/>
      </c>
    </row>
    <row r="102" spans="1:18" ht="15.75" thickBot="1">
      <c r="A102" s="272">
        <v>20</v>
      </c>
      <c r="B102" s="276"/>
      <c r="C102" s="277"/>
      <c r="D102" s="157"/>
      <c r="E102" s="278" t="str">
        <f>IF(C102="","",C102*'CBECS IFs'!$C$8)</f>
        <v/>
      </c>
      <c r="F102" s="278" t="str">
        <f>IF(C102="","",C102*'CBECS IFs'!$D$18)</f>
        <v/>
      </c>
      <c r="G102" s="172" t="str">
        <f>IF(OR(D102="",E102=""),"",((E102*VLOOKUP(D102,'State eGrid factors'!$E:$M,9,FALSE))+(((E102/(1-EF!$E$34))*EF!$E$29)+(E102*EF!$H$3))/1000+N("electricity emissions + upstream losses on total generation + T&amp;D losses")))</f>
        <v/>
      </c>
      <c r="H102" s="172" t="str">
        <f>IF(F102="","",(F102*('CBECS IFs'!$M$18+'CBECS IFs'!$O$24))/1000)</f>
        <v/>
      </c>
      <c r="K102" s="272">
        <v>20</v>
      </c>
      <c r="L102" s="276"/>
      <c r="M102" s="157"/>
      <c r="N102" s="277"/>
      <c r="O102" s="277"/>
      <c r="P102" s="172" t="str">
        <f>IF(OR(M102="",N102=""),"",((N102*VLOOKUP(M102,'State eGrid factors'!$E:$M,9,FALSE))+(((N102/(1-EF!$E$34))*EF!$E$29)+(N102*EF!$H$3))/1000+N("electricity emissions + upstream losses on total generation + T&amp;D losses")))</f>
        <v/>
      </c>
      <c r="Q102" s="172" t="str">
        <f>IF(O102="","",(O102*('CBECS IFs'!$M$18+'CBECS IFs'!$O$24))/1000)</f>
        <v/>
      </c>
    </row>
    <row r="103" spans="1:18" ht="15" thickBot="1">
      <c r="F103" s="279" t="s">
        <v>1268</v>
      </c>
      <c r="G103" s="179">
        <f>SUM(G84:G102)</f>
        <v>0</v>
      </c>
      <c r="H103" s="179">
        <f>SUM(H84:H102)</f>
        <v>0</v>
      </c>
      <c r="O103" s="279" t="s">
        <v>1268</v>
      </c>
      <c r="P103" s="179">
        <f>SUM(P84:P102)</f>
        <v>0</v>
      </c>
      <c r="Q103" s="179">
        <f>SUM(Q84:Q102)</f>
        <v>0</v>
      </c>
    </row>
    <row r="105" spans="1:18" ht="18.75">
      <c r="A105" s="266" t="s">
        <v>1419</v>
      </c>
      <c r="K105" s="266" t="s">
        <v>1419</v>
      </c>
    </row>
    <row r="106" spans="1:18">
      <c r="A106" s="267" t="s">
        <v>1237</v>
      </c>
      <c r="K106" s="267" t="s">
        <v>1237</v>
      </c>
    </row>
    <row r="107" spans="1:18" ht="22.5" customHeight="1">
      <c r="A107" s="267"/>
      <c r="C107" s="719" t="s">
        <v>2915</v>
      </c>
      <c r="D107" s="719"/>
      <c r="K107" s="267"/>
      <c r="M107" s="719"/>
    </row>
    <row r="108" spans="1:18" ht="8.25" customHeight="1">
      <c r="A108" s="267"/>
      <c r="C108" s="719"/>
      <c r="D108" s="719"/>
      <c r="K108" s="267"/>
      <c r="M108" s="719"/>
    </row>
    <row r="109" spans="1:18">
      <c r="B109" s="53" t="s">
        <v>312</v>
      </c>
      <c r="C109" s="53" t="s">
        <v>312</v>
      </c>
      <c r="D109" s="53" t="s">
        <v>312</v>
      </c>
      <c r="E109" s="53" t="s">
        <v>312</v>
      </c>
      <c r="F109" s="269"/>
      <c r="L109" s="53" t="s">
        <v>312</v>
      </c>
      <c r="M109" s="53" t="s">
        <v>312</v>
      </c>
      <c r="N109" s="53" t="s">
        <v>312</v>
      </c>
      <c r="O109" s="53" t="s">
        <v>312</v>
      </c>
      <c r="P109" s="53" t="s">
        <v>312</v>
      </c>
    </row>
    <row r="110" spans="1:18" ht="45">
      <c r="A110" s="270" t="s">
        <v>1238</v>
      </c>
      <c r="B110" s="271" t="s">
        <v>319</v>
      </c>
      <c r="C110" s="294" t="s">
        <v>2916</v>
      </c>
      <c r="D110" s="288" t="s">
        <v>1411</v>
      </c>
      <c r="E110" s="215" t="s">
        <v>4055</v>
      </c>
      <c r="F110" s="288" t="s">
        <v>1412</v>
      </c>
      <c r="G110" s="288" t="s">
        <v>1413</v>
      </c>
      <c r="H110" s="288" t="s">
        <v>4056</v>
      </c>
      <c r="I110" s="288" t="s">
        <v>4057</v>
      </c>
      <c r="K110" s="270" t="s">
        <v>1238</v>
      </c>
      <c r="L110" s="271" t="s">
        <v>319</v>
      </c>
      <c r="M110" s="271" t="s">
        <v>1729</v>
      </c>
      <c r="N110" s="215" t="s">
        <v>4055</v>
      </c>
      <c r="O110" s="270" t="s">
        <v>1412</v>
      </c>
      <c r="P110" s="288" t="s">
        <v>1413</v>
      </c>
      <c r="Q110" s="288" t="s">
        <v>4056</v>
      </c>
      <c r="R110" s="288" t="s">
        <v>4057</v>
      </c>
    </row>
    <row r="111" spans="1:18" ht="15">
      <c r="A111" s="272">
        <v>1</v>
      </c>
      <c r="B111" s="273" t="s">
        <v>1414</v>
      </c>
      <c r="C111" s="273" t="s">
        <v>1420</v>
      </c>
      <c r="D111" s="274">
        <v>100</v>
      </c>
      <c r="E111" s="147" t="s">
        <v>1396</v>
      </c>
      <c r="F111" s="275">
        <f>IF(OR(C111="",D111=""),"",(D111*IF(C111='CBECS IFs'!$B$10,'CBECS IFs'!$C$10,'CBECS IFs'!$C$11)))</f>
        <v>1490</v>
      </c>
      <c r="G111" s="275">
        <f>IF(OR(C111="",D111=""),"",(D111*IF(C111='CBECS IFs'!$B$20,'CBECS IFs'!$D$20,'CBECS IFs'!$D$21)))</f>
        <v>19.855222337125127</v>
      </c>
      <c r="H111" s="171">
        <f>IF(OR(E111="",F111=""),"",((F111*VLOOKUP(E111,'State eGrid factors'!$E:$M,9,FALSE))+(((F111/(1-EF!$E$34))*EF!$E$29)+(F111*EF!$H$3))/1000+N("electricity emissions + upstream losses on total generation + T&amp;D losses")))</f>
        <v>0.81857921087318575</v>
      </c>
      <c r="I111" s="171">
        <f>IF(G111="","",(G111*('CBECS IFs'!$M$18+'CBECS IFs'!$O$24))/1000)</f>
        <v>0.12402536040918752</v>
      </c>
      <c r="K111" s="272">
        <v>1</v>
      </c>
      <c r="L111" s="273" t="s">
        <v>1414</v>
      </c>
      <c r="M111" s="273" t="s">
        <v>1420</v>
      </c>
      <c r="N111" s="147" t="s">
        <v>1396</v>
      </c>
      <c r="O111" s="274">
        <v>20000</v>
      </c>
      <c r="P111" s="274">
        <v>350</v>
      </c>
      <c r="Q111" s="171">
        <f>IF(OR(N111="",O111=""),"",((O111*VLOOKUP(N111,'State eGrid factors'!$E:$M,9,FALSE))+(((O111/(1-EF!$E$34))*EF!$E$29)+(O111*EF!$H$3))/1000+N("electricity emissions + upstream losses on total generation + T&amp;D losses")))</f>
        <v>10.987640414405178</v>
      </c>
      <c r="R111" s="171">
        <f>IF(P111="","",(P111*('CBECS IFs'!$M$18+'CBECS IFs'!$O$24))/1000)</f>
        <v>2.1862699599213293</v>
      </c>
    </row>
    <row r="112" spans="1:18" ht="15">
      <c r="A112" s="272">
        <v>2</v>
      </c>
      <c r="B112" s="276"/>
      <c r="C112" s="276"/>
      <c r="D112" s="277"/>
      <c r="E112" s="157"/>
      <c r="F112" s="278" t="str">
        <f>IF(OR(C112="",D112=""),"",(D112*IF(C112='CBECS IFs'!$B$10,'CBECS IFs'!$C$10,'CBECS IFs'!$C$11)))</f>
        <v/>
      </c>
      <c r="G112" s="278" t="str">
        <f>IF(OR(C112="",D112=""),"",(D112*IF(C112='CBECS IFs'!$B$20,'CBECS IFs'!$D$20,'CBECS IFs'!$D$21)))</f>
        <v/>
      </c>
      <c r="H112" s="172" t="str">
        <f>IF(OR(E112="",F112=""),"",((F112*VLOOKUP(E112,'State eGrid factors'!$E:$M,9,FALSE))+(((F112/(1-EF!$E$34))*EF!$E$29)+(F112*EF!$H$3))/1000+N("electricity emissions + upstream losses on total generation + T&amp;D losses")))</f>
        <v/>
      </c>
      <c r="I112" s="172" t="str">
        <f>IF(G112="","",(G112*('CBECS IFs'!$M$18+'CBECS IFs'!$O$24))/1000)</f>
        <v/>
      </c>
      <c r="K112" s="272">
        <v>2</v>
      </c>
      <c r="L112" s="276"/>
      <c r="M112" s="276"/>
      <c r="N112" s="157"/>
      <c r="O112" s="277"/>
      <c r="P112" s="277"/>
      <c r="Q112" s="172" t="str">
        <f>IF(OR(N112="",O112=""),"",((O112*VLOOKUP(N112,'State eGrid factors'!$E:$M,9,FALSE))+(((O112/(1-EF!$E$34))*EF!$E$29)+(O112*EF!$H$3))/1000+N("electricity emissions + upstream losses on total generation + T&amp;D losses")))</f>
        <v/>
      </c>
      <c r="R112" s="172" t="str">
        <f>IF(P112="","",(P112*('CBECS IFs'!$M$18+'CBECS IFs'!$O$24))/1000)</f>
        <v/>
      </c>
    </row>
    <row r="113" spans="1:18" ht="15">
      <c r="A113" s="272">
        <v>3</v>
      </c>
      <c r="B113" s="276"/>
      <c r="C113" s="276"/>
      <c r="D113" s="277"/>
      <c r="E113" s="157"/>
      <c r="F113" s="278" t="str">
        <f>IF(OR(C113="",D113=""),"",(D113*IF(C113='CBECS IFs'!$B$10,'CBECS IFs'!$C$10,'CBECS IFs'!$C$11)))</f>
        <v/>
      </c>
      <c r="G113" s="278" t="str">
        <f>IF(OR(C113="",D113=""),"",(D113*IF(C113='CBECS IFs'!$B$20,'CBECS IFs'!$D$20,'CBECS IFs'!$D$21)))</f>
        <v/>
      </c>
      <c r="H113" s="172" t="str">
        <f>IF(OR(E113="",F113=""),"",((F113*VLOOKUP(E113,'State eGrid factors'!$E:$M,9,FALSE))+(((F113/(1-EF!$E$34))*EF!$E$29)+(F113*EF!$H$3))/1000+N("electricity emissions + upstream losses on total generation + T&amp;D losses")))</f>
        <v/>
      </c>
      <c r="I113" s="172" t="str">
        <f>IF(G113="","",(G113*('CBECS IFs'!$M$18+'CBECS IFs'!$O$24))/1000)</f>
        <v/>
      </c>
      <c r="K113" s="272">
        <v>3</v>
      </c>
      <c r="L113" s="276"/>
      <c r="M113" s="276"/>
      <c r="N113" s="157"/>
      <c r="O113" s="277"/>
      <c r="P113" s="277"/>
      <c r="Q113" s="172" t="str">
        <f>IF(OR(N113="",O113=""),"",((O113*VLOOKUP(N113,'State eGrid factors'!$E:$M,9,FALSE))+(((O113/(1-EF!$E$34))*EF!$E$29)+(O113*EF!$H$3))/1000+N("electricity emissions + upstream losses on total generation + T&amp;D losses")))</f>
        <v/>
      </c>
      <c r="R113" s="172" t="str">
        <f>IF(P113="","",(P113*('CBECS IFs'!$M$18+'CBECS IFs'!$O$24))/1000)</f>
        <v/>
      </c>
    </row>
    <row r="114" spans="1:18" ht="15">
      <c r="A114" s="272">
        <v>4</v>
      </c>
      <c r="B114" s="276"/>
      <c r="C114" s="276"/>
      <c r="D114" s="277"/>
      <c r="E114" s="157"/>
      <c r="F114" s="278" t="str">
        <f>IF(OR(C114="",D114=""),"",(D114*IF(C114='CBECS IFs'!$B$10,'CBECS IFs'!$C$10,'CBECS IFs'!$C$11)))</f>
        <v/>
      </c>
      <c r="G114" s="278" t="str">
        <f>IF(OR(C114="",D114=""),"",(D114*IF(C114='CBECS IFs'!$B$20,'CBECS IFs'!$D$20,'CBECS IFs'!$D$21)))</f>
        <v/>
      </c>
      <c r="H114" s="172" t="str">
        <f>IF(OR(E114="",F114=""),"",((F114*VLOOKUP(E114,'State eGrid factors'!$E:$M,9,FALSE))+(((F114/(1-EF!$E$34))*EF!$E$29)+(F114*EF!$H$3))/1000+N("electricity emissions + upstream losses on total generation + T&amp;D losses")))</f>
        <v/>
      </c>
      <c r="I114" s="172" t="str">
        <f>IF(G114="","",(G114*('CBECS IFs'!$M$18+'CBECS IFs'!$O$24))/1000)</f>
        <v/>
      </c>
      <c r="K114" s="272">
        <v>4</v>
      </c>
      <c r="L114" s="276"/>
      <c r="M114" s="276"/>
      <c r="N114" s="157"/>
      <c r="O114" s="277"/>
      <c r="P114" s="277"/>
      <c r="Q114" s="172" t="str">
        <f>IF(OR(N114="",O114=""),"",((O114*VLOOKUP(N114,'State eGrid factors'!$E:$M,9,FALSE))+(((O114/(1-EF!$E$34))*EF!$E$29)+(O114*EF!$H$3))/1000+N("electricity emissions + upstream losses on total generation + T&amp;D losses")))</f>
        <v/>
      </c>
      <c r="R114" s="172" t="str">
        <f>IF(P114="","",(P114*('CBECS IFs'!$M$18+'CBECS IFs'!$O$24))/1000)</f>
        <v/>
      </c>
    </row>
    <row r="115" spans="1:18" ht="15">
      <c r="A115" s="272">
        <v>5</v>
      </c>
      <c r="B115" s="276"/>
      <c r="C115" s="276"/>
      <c r="D115" s="277"/>
      <c r="E115" s="157"/>
      <c r="F115" s="278" t="str">
        <f>IF(OR(C115="",D115=""),"",(D115*IF(C115='CBECS IFs'!$B$10,'CBECS IFs'!$C$10,'CBECS IFs'!$C$11)))</f>
        <v/>
      </c>
      <c r="G115" s="278" t="str">
        <f>IF(OR(C115="",D115=""),"",(D115*IF(C115='CBECS IFs'!$B$20,'CBECS IFs'!$D$20,'CBECS IFs'!$D$21)))</f>
        <v/>
      </c>
      <c r="H115" s="172" t="str">
        <f>IF(OR(E115="",F115=""),"",((F115*VLOOKUP(E115,'State eGrid factors'!$E:$M,9,FALSE))+(((F115/(1-EF!$E$34))*EF!$E$29)+(F115*EF!$H$3))/1000+N("electricity emissions + upstream losses on total generation + T&amp;D losses")))</f>
        <v/>
      </c>
      <c r="I115" s="172" t="str">
        <f>IF(G115="","",(G115*('CBECS IFs'!$M$18+'CBECS IFs'!$O$24))/1000)</f>
        <v/>
      </c>
      <c r="K115" s="272">
        <v>5</v>
      </c>
      <c r="L115" s="276"/>
      <c r="M115" s="276"/>
      <c r="N115" s="157"/>
      <c r="O115" s="277"/>
      <c r="P115" s="277"/>
      <c r="Q115" s="172" t="str">
        <f>IF(OR(N115="",O115=""),"",((O115*VLOOKUP(N115,'State eGrid factors'!$E:$M,9,FALSE))+(((O115/(1-EF!$E$34))*EF!$E$29)+(O115*EF!$H$3))/1000+N("electricity emissions + upstream losses on total generation + T&amp;D losses")))</f>
        <v/>
      </c>
      <c r="R115" s="172" t="str">
        <f>IF(P115="","",(P115*('CBECS IFs'!$M$18+'CBECS IFs'!$O$24))/1000)</f>
        <v/>
      </c>
    </row>
    <row r="116" spans="1:18" ht="15">
      <c r="A116" s="272">
        <v>6</v>
      </c>
      <c r="B116" s="276"/>
      <c r="C116" s="276"/>
      <c r="D116" s="277"/>
      <c r="E116" s="157"/>
      <c r="F116" s="278" t="str">
        <f>IF(OR(C116="",D116=""),"",(D116*IF(C116='CBECS IFs'!$B$10,'CBECS IFs'!$C$10,'CBECS IFs'!$C$11)))</f>
        <v/>
      </c>
      <c r="G116" s="278" t="str">
        <f>IF(OR(C116="",D116=""),"",(D116*IF(C116='CBECS IFs'!$B$20,'CBECS IFs'!$D$20,'CBECS IFs'!$D$21)))</f>
        <v/>
      </c>
      <c r="H116" s="172" t="str">
        <f>IF(OR(E116="",F116=""),"",((F116*VLOOKUP(E116,'State eGrid factors'!$E:$M,9,FALSE))+(((F116/(1-EF!$E$34))*EF!$E$29)+(F116*EF!$H$3))/1000+N("electricity emissions + upstream losses on total generation + T&amp;D losses")))</f>
        <v/>
      </c>
      <c r="I116" s="172" t="str">
        <f>IF(G116="","",(G116*('CBECS IFs'!$M$18+'CBECS IFs'!$O$24))/1000)</f>
        <v/>
      </c>
      <c r="K116" s="272">
        <v>6</v>
      </c>
      <c r="L116" s="276"/>
      <c r="M116" s="276"/>
      <c r="N116" s="157"/>
      <c r="O116" s="277"/>
      <c r="P116" s="277"/>
      <c r="Q116" s="172" t="str">
        <f>IF(OR(N116="",O116=""),"",((O116*VLOOKUP(N116,'State eGrid factors'!$E:$M,9,FALSE))+(((O116/(1-EF!$E$34))*EF!$E$29)+(O116*EF!$H$3))/1000+N("electricity emissions + upstream losses on total generation + T&amp;D losses")))</f>
        <v/>
      </c>
      <c r="R116" s="172" t="str">
        <f>IF(P116="","",(P116*('CBECS IFs'!$M$18+'CBECS IFs'!$O$24))/1000)</f>
        <v/>
      </c>
    </row>
    <row r="117" spans="1:18" ht="15">
      <c r="A117" s="272">
        <v>7</v>
      </c>
      <c r="B117" s="276"/>
      <c r="C117" s="276"/>
      <c r="D117" s="277"/>
      <c r="E117" s="157"/>
      <c r="F117" s="278" t="str">
        <f>IF(OR(C117="",D117=""),"",(D117*IF(C117='CBECS IFs'!$B$10,'CBECS IFs'!$C$10,'CBECS IFs'!$C$11)))</f>
        <v/>
      </c>
      <c r="G117" s="278" t="str">
        <f>IF(OR(C117="",D117=""),"",(D117*IF(C117='CBECS IFs'!$B$20,'CBECS IFs'!$D$20,'CBECS IFs'!$D$21)))</f>
        <v/>
      </c>
      <c r="H117" s="172" t="str">
        <f>IF(OR(E117="",F117=""),"",((F117*VLOOKUP(E117,'State eGrid factors'!$E:$M,9,FALSE))+(((F117/(1-EF!$E$34))*EF!$E$29)+(F117*EF!$H$3))/1000+N("electricity emissions + upstream losses on total generation + T&amp;D losses")))</f>
        <v/>
      </c>
      <c r="I117" s="172" t="str">
        <f>IF(G117="","",(G117*('CBECS IFs'!$M$18+'CBECS IFs'!$O$24))/1000)</f>
        <v/>
      </c>
      <c r="K117" s="272">
        <v>7</v>
      </c>
      <c r="L117" s="276"/>
      <c r="M117" s="276"/>
      <c r="N117" s="157"/>
      <c r="O117" s="277"/>
      <c r="P117" s="277"/>
      <c r="Q117" s="172" t="str">
        <f>IF(OR(N117="",O117=""),"",((O117*VLOOKUP(N117,'State eGrid factors'!$E:$M,9,FALSE))+(((O117/(1-EF!$E$34))*EF!$E$29)+(O117*EF!$H$3))/1000+N("electricity emissions + upstream losses on total generation + T&amp;D losses")))</f>
        <v/>
      </c>
      <c r="R117" s="172" t="str">
        <f>IF(P117="","",(P117*('CBECS IFs'!$M$18+'CBECS IFs'!$O$24))/1000)</f>
        <v/>
      </c>
    </row>
    <row r="118" spans="1:18" ht="15">
      <c r="A118" s="272">
        <v>8</v>
      </c>
      <c r="B118" s="276"/>
      <c r="C118" s="276"/>
      <c r="D118" s="277"/>
      <c r="E118" s="157"/>
      <c r="F118" s="278" t="str">
        <f>IF(OR(C118="",D118=""),"",(D118*IF(C118='CBECS IFs'!$B$10,'CBECS IFs'!$C$10,'CBECS IFs'!$C$11)))</f>
        <v/>
      </c>
      <c r="G118" s="278" t="str">
        <f>IF(OR(C118="",D118=""),"",(D118*IF(C118='CBECS IFs'!$B$20,'CBECS IFs'!$D$20,'CBECS IFs'!$D$21)))</f>
        <v/>
      </c>
      <c r="H118" s="172" t="str">
        <f>IF(OR(E118="",F118=""),"",((F118*VLOOKUP(E118,'State eGrid factors'!$E:$M,9,FALSE))+(((F118/(1-EF!$E$34))*EF!$E$29)+(F118*EF!$H$3))/1000+N("electricity emissions + upstream losses on total generation + T&amp;D losses")))</f>
        <v/>
      </c>
      <c r="I118" s="172" t="str">
        <f>IF(G118="","",(G118*('CBECS IFs'!$M$18+'CBECS IFs'!$O$24))/1000)</f>
        <v/>
      </c>
      <c r="K118" s="272">
        <v>8</v>
      </c>
      <c r="L118" s="276"/>
      <c r="M118" s="276"/>
      <c r="N118" s="157"/>
      <c r="O118" s="277"/>
      <c r="P118" s="277"/>
      <c r="Q118" s="172" t="str">
        <f>IF(OR(N118="",O118=""),"",((O118*VLOOKUP(N118,'State eGrid factors'!$E:$M,9,FALSE))+(((O118/(1-EF!$E$34))*EF!$E$29)+(O118*EF!$H$3))/1000+N("electricity emissions + upstream losses on total generation + T&amp;D losses")))</f>
        <v/>
      </c>
      <c r="R118" s="172" t="str">
        <f>IF(P118="","",(P118*('CBECS IFs'!$M$18+'CBECS IFs'!$O$24))/1000)</f>
        <v/>
      </c>
    </row>
    <row r="119" spans="1:18" ht="15">
      <c r="A119" s="272">
        <v>9</v>
      </c>
      <c r="B119" s="276"/>
      <c r="C119" s="276"/>
      <c r="D119" s="277"/>
      <c r="E119" s="157"/>
      <c r="F119" s="278" t="str">
        <f>IF(OR(C119="",D119=""),"",(D119*IF(C119='CBECS IFs'!$B$10,'CBECS IFs'!$C$10,'CBECS IFs'!$C$11)))</f>
        <v/>
      </c>
      <c r="G119" s="278" t="str">
        <f>IF(OR(C119="",D119=""),"",(D119*IF(C119='CBECS IFs'!$B$20,'CBECS IFs'!$D$20,'CBECS IFs'!$D$21)))</f>
        <v/>
      </c>
      <c r="H119" s="172" t="str">
        <f>IF(OR(E119="",F119=""),"",((F119*VLOOKUP(E119,'State eGrid factors'!$E:$M,9,FALSE))+(((F119/(1-EF!$E$34))*EF!$E$29)+(F119*EF!$H$3))/1000+N("electricity emissions + upstream losses on total generation + T&amp;D losses")))</f>
        <v/>
      </c>
      <c r="I119" s="172" t="str">
        <f>IF(G119="","",(G119*('CBECS IFs'!$M$18+'CBECS IFs'!$O$24))/1000)</f>
        <v/>
      </c>
      <c r="K119" s="272">
        <v>9</v>
      </c>
      <c r="L119" s="276"/>
      <c r="M119" s="276"/>
      <c r="N119" s="157"/>
      <c r="O119" s="277"/>
      <c r="P119" s="277"/>
      <c r="Q119" s="172" t="str">
        <f>IF(OR(N119="",O119=""),"",((O119*VLOOKUP(N119,'State eGrid factors'!$E:$M,9,FALSE))+(((O119/(1-EF!$E$34))*EF!$E$29)+(O119*EF!$H$3))/1000+N("electricity emissions + upstream losses on total generation + T&amp;D losses")))</f>
        <v/>
      </c>
      <c r="R119" s="172" t="str">
        <f>IF(P119="","",(P119*('CBECS IFs'!$M$18+'CBECS IFs'!$O$24))/1000)</f>
        <v/>
      </c>
    </row>
    <row r="120" spans="1:18" ht="15">
      <c r="A120" s="272">
        <v>10</v>
      </c>
      <c r="B120" s="276"/>
      <c r="C120" s="276"/>
      <c r="D120" s="277"/>
      <c r="E120" s="157"/>
      <c r="F120" s="278" t="str">
        <f>IF(OR(C120="",D120=""),"",(D120*IF(C120='CBECS IFs'!$B$10,'CBECS IFs'!$C$10,'CBECS IFs'!$C$11)))</f>
        <v/>
      </c>
      <c r="G120" s="278" t="str">
        <f>IF(OR(C120="",D120=""),"",(D120*IF(C120='CBECS IFs'!$B$20,'CBECS IFs'!$D$20,'CBECS IFs'!$D$21)))</f>
        <v/>
      </c>
      <c r="H120" s="172" t="str">
        <f>IF(OR(E120="",F120=""),"",((F120*VLOOKUP(E120,'State eGrid factors'!$E:$M,9,FALSE))+(((F120/(1-EF!$E$34))*EF!$E$29)+(F120*EF!$H$3))/1000+N("electricity emissions + upstream losses on total generation + T&amp;D losses")))</f>
        <v/>
      </c>
      <c r="I120" s="172" t="str">
        <f>IF(G120="","",(G120*('CBECS IFs'!$M$18+'CBECS IFs'!$O$24))/1000)</f>
        <v/>
      </c>
      <c r="K120" s="272">
        <v>10</v>
      </c>
      <c r="L120" s="276"/>
      <c r="M120" s="276"/>
      <c r="N120" s="157"/>
      <c r="O120" s="277"/>
      <c r="P120" s="277"/>
      <c r="Q120" s="172" t="str">
        <f>IF(OR(N120="",O120=""),"",((O120*VLOOKUP(N120,'State eGrid factors'!$E:$M,9,FALSE))+(((O120/(1-EF!$E$34))*EF!$E$29)+(O120*EF!$H$3))/1000+N("electricity emissions + upstream losses on total generation + T&amp;D losses")))</f>
        <v/>
      </c>
      <c r="R120" s="172" t="str">
        <f>IF(P120="","",(P120*('CBECS IFs'!$M$18+'CBECS IFs'!$O$24))/1000)</f>
        <v/>
      </c>
    </row>
    <row r="121" spans="1:18" ht="15">
      <c r="A121" s="272">
        <v>11</v>
      </c>
      <c r="B121" s="276"/>
      <c r="C121" s="276"/>
      <c r="D121" s="277"/>
      <c r="E121" s="157"/>
      <c r="F121" s="278" t="str">
        <f>IF(OR(C121="",D121=""),"",(D121*IF(C121='CBECS IFs'!$B$10,'CBECS IFs'!$C$10,'CBECS IFs'!$C$11)))</f>
        <v/>
      </c>
      <c r="G121" s="278" t="str">
        <f>IF(OR(C121="",D121=""),"",(D121*IF(C121='CBECS IFs'!$B$20,'CBECS IFs'!$D$20,'CBECS IFs'!$D$21)))</f>
        <v/>
      </c>
      <c r="H121" s="172" t="str">
        <f>IF(OR(E121="",F121=""),"",((F121*VLOOKUP(E121,'State eGrid factors'!$E:$M,9,FALSE))+(((F121/(1-EF!$E$34))*EF!$E$29)+(F121*EF!$H$3))/1000+N("electricity emissions + upstream losses on total generation + T&amp;D losses")))</f>
        <v/>
      </c>
      <c r="I121" s="172" t="str">
        <f>IF(G121="","",(G121*('CBECS IFs'!$M$18+'CBECS IFs'!$O$24))/1000)</f>
        <v/>
      </c>
      <c r="K121" s="272">
        <v>11</v>
      </c>
      <c r="L121" s="276"/>
      <c r="M121" s="276"/>
      <c r="N121" s="157"/>
      <c r="O121" s="277"/>
      <c r="P121" s="277"/>
      <c r="Q121" s="172" t="str">
        <f>IF(OR(N121="",O121=""),"",((O121*VLOOKUP(N121,'State eGrid factors'!$E:$M,9,FALSE))+(((O121/(1-EF!$E$34))*EF!$E$29)+(O121*EF!$H$3))/1000+N("electricity emissions + upstream losses on total generation + T&amp;D losses")))</f>
        <v/>
      </c>
      <c r="R121" s="172" t="str">
        <f>IF(P121="","",(P121*('CBECS IFs'!$M$18+'CBECS IFs'!$O$24))/1000)</f>
        <v/>
      </c>
    </row>
    <row r="122" spans="1:18" ht="15">
      <c r="A122" s="272">
        <v>12</v>
      </c>
      <c r="B122" s="276"/>
      <c r="C122" s="276"/>
      <c r="D122" s="277"/>
      <c r="E122" s="157"/>
      <c r="F122" s="278" t="str">
        <f>IF(OR(C122="",D122=""),"",(D122*IF(C122='CBECS IFs'!$B$10,'CBECS IFs'!$C$10,'CBECS IFs'!$C$11)))</f>
        <v/>
      </c>
      <c r="G122" s="278" t="str">
        <f>IF(OR(C122="",D122=""),"",(D122*IF(C122='CBECS IFs'!$B$20,'CBECS IFs'!$D$20,'CBECS IFs'!$D$21)))</f>
        <v/>
      </c>
      <c r="H122" s="172" t="str">
        <f>IF(OR(E122="",F122=""),"",((F122*VLOOKUP(E122,'State eGrid factors'!$E:$M,9,FALSE))+(((F122/(1-EF!$E$34))*EF!$E$29)+(F122*EF!$H$3))/1000+N("electricity emissions + upstream losses on total generation + T&amp;D losses")))</f>
        <v/>
      </c>
      <c r="I122" s="172" t="str">
        <f>IF(G122="","",(G122*('CBECS IFs'!$M$18+'CBECS IFs'!$O$24))/1000)</f>
        <v/>
      </c>
      <c r="K122" s="272">
        <v>12</v>
      </c>
      <c r="L122" s="276"/>
      <c r="M122" s="276"/>
      <c r="N122" s="157"/>
      <c r="O122" s="277"/>
      <c r="P122" s="277"/>
      <c r="Q122" s="172" t="str">
        <f>IF(OR(N122="",O122=""),"",((O122*VLOOKUP(N122,'State eGrid factors'!$E:$M,9,FALSE))+(((O122/(1-EF!$E$34))*EF!$E$29)+(O122*EF!$H$3))/1000+N("electricity emissions + upstream losses on total generation + T&amp;D losses")))</f>
        <v/>
      </c>
      <c r="R122" s="172" t="str">
        <f>IF(P122="","",(P122*('CBECS IFs'!$M$18+'CBECS IFs'!$O$24))/1000)</f>
        <v/>
      </c>
    </row>
    <row r="123" spans="1:18" ht="15">
      <c r="A123" s="272">
        <v>13</v>
      </c>
      <c r="B123" s="276"/>
      <c r="C123" s="276"/>
      <c r="D123" s="277"/>
      <c r="E123" s="157"/>
      <c r="F123" s="278" t="str">
        <f>IF(OR(C123="",D123=""),"",(D123*IF(C123='CBECS IFs'!$B$10,'CBECS IFs'!$C$10,'CBECS IFs'!$C$11)))</f>
        <v/>
      </c>
      <c r="G123" s="278" t="str">
        <f>IF(OR(C123="",D123=""),"",(D123*IF(C123='CBECS IFs'!$B$20,'CBECS IFs'!$D$20,'CBECS IFs'!$D$21)))</f>
        <v/>
      </c>
      <c r="H123" s="172" t="str">
        <f>IF(OR(E123="",F123=""),"",((F123*VLOOKUP(E123,'State eGrid factors'!$E:$M,9,FALSE))+(((F123/(1-EF!$E$34))*EF!$E$29)+(F123*EF!$H$3))/1000+N("electricity emissions + upstream losses on total generation + T&amp;D losses")))</f>
        <v/>
      </c>
      <c r="I123" s="172" t="str">
        <f>IF(G123="","",(G123*('CBECS IFs'!$M$18+'CBECS IFs'!$O$24))/1000)</f>
        <v/>
      </c>
      <c r="K123" s="272">
        <v>13</v>
      </c>
      <c r="L123" s="276"/>
      <c r="M123" s="276"/>
      <c r="N123" s="157"/>
      <c r="O123" s="277"/>
      <c r="P123" s="277"/>
      <c r="Q123" s="172" t="str">
        <f>IF(OR(N123="",O123=""),"",((O123*VLOOKUP(N123,'State eGrid factors'!$E:$M,9,FALSE))+(((O123/(1-EF!$E$34))*EF!$E$29)+(O123*EF!$H$3))/1000+N("electricity emissions + upstream losses on total generation + T&amp;D losses")))</f>
        <v/>
      </c>
      <c r="R123" s="172" t="str">
        <f>IF(P123="","",(P123*('CBECS IFs'!$M$18+'CBECS IFs'!$O$24))/1000)</f>
        <v/>
      </c>
    </row>
    <row r="124" spans="1:18" ht="15">
      <c r="A124" s="272">
        <v>14</v>
      </c>
      <c r="B124" s="276"/>
      <c r="C124" s="276"/>
      <c r="D124" s="277"/>
      <c r="E124" s="157"/>
      <c r="F124" s="278" t="str">
        <f>IF(OR(C124="",D124=""),"",(D124*IF(C124='CBECS IFs'!$B$10,'CBECS IFs'!$C$10,'CBECS IFs'!$C$11)))</f>
        <v/>
      </c>
      <c r="G124" s="278" t="str">
        <f>IF(OR(C124="",D124=""),"",(D124*IF(C124='CBECS IFs'!$B$20,'CBECS IFs'!$D$20,'CBECS IFs'!$D$21)))</f>
        <v/>
      </c>
      <c r="H124" s="172" t="str">
        <f>IF(OR(E124="",F124=""),"",((F124*VLOOKUP(E124,'State eGrid factors'!$E:$M,9,FALSE))+(((F124/(1-EF!$E$34))*EF!$E$29)+(F124*EF!$H$3))/1000+N("electricity emissions + upstream losses on total generation + T&amp;D losses")))</f>
        <v/>
      </c>
      <c r="I124" s="172" t="str">
        <f>IF(G124="","",(G124*('CBECS IFs'!$M$18+'CBECS IFs'!$O$24))/1000)</f>
        <v/>
      </c>
      <c r="K124" s="272">
        <v>14</v>
      </c>
      <c r="L124" s="276"/>
      <c r="M124" s="276"/>
      <c r="N124" s="157"/>
      <c r="O124" s="277"/>
      <c r="P124" s="277"/>
      <c r="Q124" s="172" t="str">
        <f>IF(OR(N124="",O124=""),"",((O124*VLOOKUP(N124,'State eGrid factors'!$E:$M,9,FALSE))+(((O124/(1-EF!$E$34))*EF!$E$29)+(O124*EF!$H$3))/1000+N("electricity emissions + upstream losses on total generation + T&amp;D losses")))</f>
        <v/>
      </c>
      <c r="R124" s="172" t="str">
        <f>IF(P124="","",(P124*('CBECS IFs'!$M$18+'CBECS IFs'!$O$24))/1000)</f>
        <v/>
      </c>
    </row>
    <row r="125" spans="1:18" ht="15">
      <c r="A125" s="272">
        <v>15</v>
      </c>
      <c r="B125" s="276"/>
      <c r="C125" s="276"/>
      <c r="D125" s="277"/>
      <c r="E125" s="157"/>
      <c r="F125" s="278" t="str">
        <f>IF(OR(C125="",D125=""),"",(D125*IF(C125='CBECS IFs'!$B$10,'CBECS IFs'!$C$10,'CBECS IFs'!$C$11)))</f>
        <v/>
      </c>
      <c r="G125" s="278" t="str">
        <f>IF(OR(C125="",D125=""),"",(D125*IF(C125='CBECS IFs'!$B$20,'CBECS IFs'!$D$20,'CBECS IFs'!$D$21)))</f>
        <v/>
      </c>
      <c r="H125" s="172" t="str">
        <f>IF(OR(E125="",F125=""),"",((F125*VLOOKUP(E125,'State eGrid factors'!$E:$M,9,FALSE))+(((F125/(1-EF!$E$34))*EF!$E$29)+(F125*EF!$H$3))/1000+N("electricity emissions + upstream losses on total generation + T&amp;D losses")))</f>
        <v/>
      </c>
      <c r="I125" s="172" t="str">
        <f>IF(G125="","",(G125*('CBECS IFs'!$M$18+'CBECS IFs'!$O$24))/1000)</f>
        <v/>
      </c>
      <c r="K125" s="272">
        <v>15</v>
      </c>
      <c r="L125" s="276"/>
      <c r="M125" s="276"/>
      <c r="N125" s="157"/>
      <c r="O125" s="277"/>
      <c r="P125" s="277"/>
      <c r="Q125" s="172" t="str">
        <f>IF(OR(N125="",O125=""),"",((O125*VLOOKUP(N125,'State eGrid factors'!$E:$M,9,FALSE))+(((O125/(1-EF!$E$34))*EF!$E$29)+(O125*EF!$H$3))/1000+N("electricity emissions + upstream losses on total generation + T&amp;D losses")))</f>
        <v/>
      </c>
      <c r="R125" s="172" t="str">
        <f>IF(P125="","",(P125*('CBECS IFs'!$M$18+'CBECS IFs'!$O$24))/1000)</f>
        <v/>
      </c>
    </row>
    <row r="126" spans="1:18" ht="15">
      <c r="A126" s="272">
        <v>16</v>
      </c>
      <c r="B126" s="276"/>
      <c r="C126" s="276"/>
      <c r="D126" s="277"/>
      <c r="E126" s="157"/>
      <c r="F126" s="278" t="str">
        <f>IF(OR(C126="",D126=""),"",(D126*IF(C126='CBECS IFs'!$B$10,'CBECS IFs'!$C$10,'CBECS IFs'!$C$11)))</f>
        <v/>
      </c>
      <c r="G126" s="278" t="str">
        <f>IF(OR(C126="",D126=""),"",(D126*IF(C126='CBECS IFs'!$B$20,'CBECS IFs'!$D$20,'CBECS IFs'!$D$21)))</f>
        <v/>
      </c>
      <c r="H126" s="172" t="str">
        <f>IF(OR(E126="",F126=""),"",((F126*VLOOKUP(E126,'State eGrid factors'!$E:$M,9,FALSE))+(((F126/(1-EF!$E$34))*EF!$E$29)+(F126*EF!$H$3))/1000+N("electricity emissions + upstream losses on total generation + T&amp;D losses")))</f>
        <v/>
      </c>
      <c r="I126" s="172" t="str">
        <f>IF(G126="","",(G126*('CBECS IFs'!$M$18+'CBECS IFs'!$O$24))/1000)</f>
        <v/>
      </c>
      <c r="K126" s="272">
        <v>16</v>
      </c>
      <c r="L126" s="276"/>
      <c r="M126" s="276"/>
      <c r="N126" s="157"/>
      <c r="O126" s="277"/>
      <c r="P126" s="277"/>
      <c r="Q126" s="172" t="str">
        <f>IF(OR(N126="",O126=""),"",((O126*VLOOKUP(N126,'State eGrid factors'!$E:$M,9,FALSE))+(((O126/(1-EF!$E$34))*EF!$E$29)+(O126*EF!$H$3))/1000+N("electricity emissions + upstream losses on total generation + T&amp;D losses")))</f>
        <v/>
      </c>
      <c r="R126" s="172" t="str">
        <f>IF(P126="","",(P126*('CBECS IFs'!$M$18+'CBECS IFs'!$O$24))/1000)</f>
        <v/>
      </c>
    </row>
    <row r="127" spans="1:18" ht="15">
      <c r="A127" s="272">
        <v>17</v>
      </c>
      <c r="B127" s="276"/>
      <c r="C127" s="276"/>
      <c r="D127" s="277"/>
      <c r="E127" s="157"/>
      <c r="F127" s="278" t="str">
        <f>IF(OR(C127="",D127=""),"",(D127*IF(C127='CBECS IFs'!$B$10,'CBECS IFs'!$C$10,'CBECS IFs'!$C$11)))</f>
        <v/>
      </c>
      <c r="G127" s="278" t="str">
        <f>IF(OR(C127="",D127=""),"",(D127*IF(C127='CBECS IFs'!$B$20,'CBECS IFs'!$D$20,'CBECS IFs'!$D$21)))</f>
        <v/>
      </c>
      <c r="H127" s="172" t="str">
        <f>IF(OR(E127="",F127=""),"",((F127*VLOOKUP(E127,'State eGrid factors'!$E:$M,9,FALSE))+(((F127/(1-EF!$E$34))*EF!$E$29)+(F127*EF!$H$3))/1000+N("electricity emissions + upstream losses on total generation + T&amp;D losses")))</f>
        <v/>
      </c>
      <c r="I127" s="172" t="str">
        <f>IF(G127="","",(G127*('CBECS IFs'!$M$18+'CBECS IFs'!$O$24))/1000)</f>
        <v/>
      </c>
      <c r="K127" s="272">
        <v>17</v>
      </c>
      <c r="L127" s="276"/>
      <c r="M127" s="276"/>
      <c r="N127" s="157"/>
      <c r="O127" s="277"/>
      <c r="P127" s="277"/>
      <c r="Q127" s="172" t="str">
        <f>IF(OR(N127="",O127=""),"",((O127*VLOOKUP(N127,'State eGrid factors'!$E:$M,9,FALSE))+(((O127/(1-EF!$E$34))*EF!$E$29)+(O127*EF!$H$3))/1000+N("electricity emissions + upstream losses on total generation + T&amp;D losses")))</f>
        <v/>
      </c>
      <c r="R127" s="172" t="str">
        <f>IF(P127="","",(P127*('CBECS IFs'!$M$18+'CBECS IFs'!$O$24))/1000)</f>
        <v/>
      </c>
    </row>
    <row r="128" spans="1:18" ht="15">
      <c r="A128" s="272">
        <v>18</v>
      </c>
      <c r="B128" s="276"/>
      <c r="C128" s="276"/>
      <c r="D128" s="277"/>
      <c r="E128" s="157"/>
      <c r="F128" s="278" t="str">
        <f>IF(OR(C128="",D128=""),"",(D128*IF(C128='CBECS IFs'!$B$10,'CBECS IFs'!$C$10,'CBECS IFs'!$C$11)))</f>
        <v/>
      </c>
      <c r="G128" s="278" t="str">
        <f>IF(OR(C128="",D128=""),"",(D128*IF(C128='CBECS IFs'!$B$20,'CBECS IFs'!$D$20,'CBECS IFs'!$D$21)))</f>
        <v/>
      </c>
      <c r="H128" s="172" t="str">
        <f>IF(OR(E128="",F128=""),"",((F128*VLOOKUP(E128,'State eGrid factors'!$E:$M,9,FALSE))+(((F128/(1-EF!$E$34))*EF!$E$29)+(F128*EF!$H$3))/1000+N("electricity emissions + upstream losses on total generation + T&amp;D losses")))</f>
        <v/>
      </c>
      <c r="I128" s="172" t="str">
        <f>IF(G128="","",(G128*('CBECS IFs'!$M$18+'CBECS IFs'!$O$24))/1000)</f>
        <v/>
      </c>
      <c r="K128" s="272">
        <v>18</v>
      </c>
      <c r="L128" s="276"/>
      <c r="M128" s="276"/>
      <c r="N128" s="157"/>
      <c r="O128" s="277"/>
      <c r="P128" s="277"/>
      <c r="Q128" s="172" t="str">
        <f>IF(OR(N128="",O128=""),"",((O128*VLOOKUP(N128,'State eGrid factors'!$E:$M,9,FALSE))+(((O128/(1-EF!$E$34))*EF!$E$29)+(O128*EF!$H$3))/1000+N("electricity emissions + upstream losses on total generation + T&amp;D losses")))</f>
        <v/>
      </c>
      <c r="R128" s="172" t="str">
        <f>IF(P128="","",(P128*('CBECS IFs'!$M$18+'CBECS IFs'!$O$24))/1000)</f>
        <v/>
      </c>
    </row>
    <row r="129" spans="1:18" ht="15">
      <c r="A129" s="272">
        <v>19</v>
      </c>
      <c r="B129" s="276"/>
      <c r="C129" s="276"/>
      <c r="D129" s="277"/>
      <c r="E129" s="157"/>
      <c r="F129" s="278" t="str">
        <f>IF(OR(C129="",D129=""),"",(D129*IF(C129='CBECS IFs'!$B$10,'CBECS IFs'!$C$10,'CBECS IFs'!$C$11)))</f>
        <v/>
      </c>
      <c r="G129" s="278" t="str">
        <f>IF(OR(C129="",D129=""),"",(D129*IF(C129='CBECS IFs'!$B$20,'CBECS IFs'!$D$20,'CBECS IFs'!$D$21)))</f>
        <v/>
      </c>
      <c r="H129" s="172" t="str">
        <f>IF(OR(E129="",F129=""),"",((F129*VLOOKUP(E129,'State eGrid factors'!$E:$M,9,FALSE))+(((F129/(1-EF!$E$34))*EF!$E$29)+(F129*EF!$H$3))/1000+N("electricity emissions + upstream losses on total generation + T&amp;D losses")))</f>
        <v/>
      </c>
      <c r="I129" s="172" t="str">
        <f>IF(G129="","",(G129*('CBECS IFs'!$M$18+'CBECS IFs'!$O$24))/1000)</f>
        <v/>
      </c>
      <c r="K129" s="272">
        <v>19</v>
      </c>
      <c r="L129" s="276"/>
      <c r="M129" s="276"/>
      <c r="N129" s="157"/>
      <c r="O129" s="277"/>
      <c r="P129" s="277"/>
      <c r="Q129" s="172" t="str">
        <f>IF(OR(N129="",O129=""),"",((O129*VLOOKUP(N129,'State eGrid factors'!$E:$M,9,FALSE))+(((O129/(1-EF!$E$34))*EF!$E$29)+(O129*EF!$H$3))/1000+N("electricity emissions + upstream losses on total generation + T&amp;D losses")))</f>
        <v/>
      </c>
      <c r="R129" s="172" t="str">
        <f>IF(P129="","",(P129*('CBECS IFs'!$M$18+'CBECS IFs'!$O$24))/1000)</f>
        <v/>
      </c>
    </row>
    <row r="130" spans="1:18" ht="15.75" thickBot="1">
      <c r="A130" s="272">
        <v>20</v>
      </c>
      <c r="B130" s="276"/>
      <c r="C130" s="276"/>
      <c r="D130" s="277"/>
      <c r="E130" s="157"/>
      <c r="F130" s="278" t="str">
        <f>IF(OR(C130="",D130=""),"",(D130*IF(C130='CBECS IFs'!$B$10,'CBECS IFs'!$C$10,'CBECS IFs'!$C$11)))</f>
        <v/>
      </c>
      <c r="G130" s="278" t="str">
        <f>IF(OR(C130="",D130=""),"",(D130*IF(C130='CBECS IFs'!$B$20,'CBECS IFs'!$D$20,'CBECS IFs'!$D$21)))</f>
        <v/>
      </c>
      <c r="H130" s="172" t="str">
        <f>IF(OR(E130="",F130=""),"",((F130*VLOOKUP(E130,'State eGrid factors'!$E:$M,9,FALSE))+(((F130/(1-EF!$E$34))*EF!$E$29)+(F130*EF!$H$3))/1000+N("electricity emissions + upstream losses on total generation + T&amp;D losses")))</f>
        <v/>
      </c>
      <c r="I130" s="172" t="str">
        <f>IF(G130="","",(G130*('CBECS IFs'!$M$18+'CBECS IFs'!$O$24))/1000)</f>
        <v/>
      </c>
      <c r="K130" s="272">
        <v>20</v>
      </c>
      <c r="L130" s="276"/>
      <c r="M130" s="276"/>
      <c r="N130" s="157"/>
      <c r="O130" s="277"/>
      <c r="P130" s="277"/>
      <c r="Q130" s="172" t="str">
        <f>IF(OR(N130="",O130=""),"",((O130*VLOOKUP(N130,'State eGrid factors'!$E:$M,9,FALSE))+(((O130/(1-EF!$E$34))*EF!$E$29)+(O130*EF!$H$3))/1000+N("electricity emissions + upstream losses on total generation + T&amp;D losses")))</f>
        <v/>
      </c>
      <c r="R130" s="172" t="str">
        <f>IF(P130="","",(P130*('CBECS IFs'!$M$18+'CBECS IFs'!$O$24))/1000)</f>
        <v/>
      </c>
    </row>
    <row r="131" spans="1:18" ht="15" thickBot="1">
      <c r="G131" s="279" t="s">
        <v>1268</v>
      </c>
      <c r="H131" s="179">
        <f>SUM(H112:H130)</f>
        <v>0</v>
      </c>
      <c r="I131" s="179">
        <f>SUM(I112:I130)</f>
        <v>0</v>
      </c>
      <c r="P131" s="279" t="s">
        <v>1268</v>
      </c>
      <c r="Q131" s="179">
        <f>SUM(Q112:Q130)</f>
        <v>0</v>
      </c>
      <c r="R131" s="179">
        <f>SUM(R112:R130)</f>
        <v>0</v>
      </c>
    </row>
  </sheetData>
  <sheetProtection algorithmName="SHA-512" hashValue="ovqTa/rAi+lUzIdPkwfj1lmcRjk6kMORyiDlWrdbwu2Jfi9N7PY3SaXDE1+hKOhRXxWsjg8PIkFRwmuMDZ0A9A==" saltValue="/L4J+d6hIhpZLcbEMF3V8w==" spinCount="100000" sheet="1" objects="1" scenarios="1"/>
  <mergeCells count="1">
    <mergeCell ref="C52:C53"/>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98DF46A1-3A77-4EF0-9548-1C01016573E3}">
          <x14:formula1>
            <xm:f>'CBECS IFs'!$B$10:$B$11</xm:f>
          </x14:formula1>
          <xm:sqref>C56:C75 M56:M75 M111:M130 C111:C130 D55</xm:sqref>
        </x14:dataValidation>
        <x14:dataValidation type="list" allowBlank="1" showInputMessage="1" showErrorMessage="1" xr:uid="{9F8ED02E-98FF-4718-952F-1D922891F712}">
          <x14:formula1>
            <xm:f>'Commute Calcs'!$K$7:$K$57</xm:f>
          </x14:formula1>
          <xm:sqref>E111:E130 D83:D102 D28:D47 E56:E75 N111:N130 M83:M102 N56:N75 M28:M47</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0E48C-D45D-40C6-97AE-1A208A556341}">
  <sheetPr codeName="Sheet32">
    <tabColor theme="3" tint="0.59999389629810485"/>
  </sheetPr>
  <dimension ref="A1:K98"/>
  <sheetViews>
    <sheetView showGridLines="0" zoomScale="85" zoomScaleNormal="85" workbookViewId="0"/>
  </sheetViews>
  <sheetFormatPr defaultColWidth="8.875" defaultRowHeight="14.25"/>
  <cols>
    <col min="2" max="3" width="29.125" customWidth="1"/>
    <col min="4" max="4" width="26.375" bestFit="1" customWidth="1"/>
    <col min="5" max="5" width="15.75" customWidth="1"/>
    <col min="6" max="6" width="14.625" customWidth="1"/>
    <col min="7" max="7" width="14.5" customWidth="1"/>
  </cols>
  <sheetData>
    <row r="1" spans="1:6" ht="25.7" customHeight="1">
      <c r="A1" s="74" t="s">
        <v>1421</v>
      </c>
      <c r="B1" s="74"/>
      <c r="C1" s="74"/>
      <c r="D1" s="74"/>
      <c r="E1" s="74"/>
      <c r="F1" s="74"/>
    </row>
    <row r="2" spans="1:6" ht="15.95" customHeight="1">
      <c r="A2" s="198" t="s">
        <v>1387</v>
      </c>
      <c r="B2" s="110"/>
      <c r="C2" s="110"/>
      <c r="D2" s="110"/>
      <c r="E2" s="110"/>
      <c r="F2" s="110"/>
    </row>
    <row r="3" spans="1:6" ht="15.95" customHeight="1">
      <c r="A3" s="112" t="s">
        <v>1339</v>
      </c>
      <c r="B3" s="110"/>
      <c r="C3" s="110"/>
      <c r="D3" s="110"/>
      <c r="E3" s="110"/>
      <c r="F3" s="110"/>
    </row>
    <row r="4" spans="1:6" s="244" customFormat="1" ht="15.95" customHeight="1">
      <c r="A4" s="112" t="s">
        <v>1422</v>
      </c>
      <c r="B4" s="112"/>
      <c r="C4" s="112"/>
      <c r="D4" s="112"/>
      <c r="E4" s="112"/>
      <c r="F4" s="112"/>
    </row>
    <row r="5" spans="1:6" ht="15.95" customHeight="1">
      <c r="A5" s="112" t="s">
        <v>1389</v>
      </c>
      <c r="B5" s="110"/>
      <c r="C5" s="110"/>
      <c r="D5" s="110"/>
      <c r="E5" s="110"/>
      <c r="F5" s="110"/>
    </row>
    <row r="6" spans="1:6" ht="15.95" customHeight="1">
      <c r="A6" s="282" t="s">
        <v>1423</v>
      </c>
      <c r="B6" s="110"/>
      <c r="C6" s="110"/>
      <c r="D6" s="110"/>
      <c r="E6" s="110"/>
      <c r="F6" s="110"/>
    </row>
    <row r="7" spans="1:6" ht="15.95" customHeight="1">
      <c r="A7" s="235" t="s">
        <v>1424</v>
      </c>
      <c r="B7" s="110"/>
      <c r="C7" s="110"/>
      <c r="D7" s="110"/>
      <c r="E7" s="110"/>
      <c r="F7" s="110"/>
    </row>
    <row r="8" spans="1:6" ht="15.95" customHeight="1"/>
    <row r="9" spans="1:6" ht="15.95" customHeight="1"/>
    <row r="14" spans="1:6" ht="21.95" customHeight="1"/>
    <row r="15" spans="1:6" ht="21.95" customHeight="1"/>
    <row r="16" spans="1:6" ht="21.95" customHeight="1"/>
    <row r="17" spans="1:11" ht="21.95" customHeight="1"/>
    <row r="18" spans="1:11" ht="21.95" customHeight="1"/>
    <row r="19" spans="1:11" ht="21.95" customHeight="1"/>
    <row r="20" spans="1:11" ht="18.75">
      <c r="A20" s="203" t="s">
        <v>1425</v>
      </c>
    </row>
    <row r="21" spans="1:11">
      <c r="A21" s="204" t="s">
        <v>1237</v>
      </c>
    </row>
    <row r="22" spans="1:11" s="30" customFormat="1" ht="8.25" customHeight="1">
      <c r="A22" s="267"/>
      <c r="C22" s="719"/>
      <c r="H22"/>
      <c r="I22" s="267"/>
      <c r="K22" s="719"/>
    </row>
    <row r="23" spans="1:11">
      <c r="B23" s="814" t="s">
        <v>312</v>
      </c>
      <c r="C23" s="814" t="s">
        <v>312</v>
      </c>
      <c r="D23" s="814" t="s">
        <v>312</v>
      </c>
    </row>
    <row r="24" spans="1:11" ht="30">
      <c r="A24" s="205" t="s">
        <v>1238</v>
      </c>
      <c r="B24" s="206" t="s">
        <v>1300</v>
      </c>
      <c r="C24" s="215" t="s">
        <v>4055</v>
      </c>
      <c r="D24" s="205" t="s">
        <v>1426</v>
      </c>
      <c r="E24" s="216" t="s">
        <v>322</v>
      </c>
    </row>
    <row r="25" spans="1:11" ht="15">
      <c r="A25" s="207">
        <v>1</v>
      </c>
      <c r="B25" s="147" t="s">
        <v>1427</v>
      </c>
      <c r="C25" s="147" t="s">
        <v>1396</v>
      </c>
      <c r="D25" s="253">
        <v>1000000</v>
      </c>
      <c r="E25" s="240">
        <f>IFERROR(D25*VLOOKUP(C25,'Commute Calcs'!$K$7:$M$57,3,FALSE)*('DESNZ Cat 6-9'!$R$29+'DESNZ Cat 6-9'!$S$29)/1000+N("number of visits x state-specific round trip commute distance x (weighted avg emissions for car &amp; SUV for different fuel types + weighted avg WTT emissions for car &amp; SUV for different fuel types)"),"")</f>
        <v>4826.2403538640174</v>
      </c>
    </row>
    <row r="26" spans="1:11" ht="15">
      <c r="A26" s="207">
        <v>2</v>
      </c>
      <c r="B26" s="157"/>
      <c r="C26" s="157"/>
      <c r="D26" s="167"/>
      <c r="E26" s="809" t="str">
        <f>IFERROR(D26*VLOOKUP(C26,'Commute Calcs'!$K$7:$M$57,3,FALSE)*('DESNZ Cat 6-9'!$R$29+'DESNZ Cat 6-9'!$S$29)/1000+N("number of visits x state-specific round trip commute distance x (weighted avg emissions for car &amp; SUV for different fuel types + weighted avg WTT emissions for car &amp; SUV for different fuel types)"),"")</f>
        <v/>
      </c>
    </row>
    <row r="27" spans="1:11" ht="15">
      <c r="A27" s="207">
        <v>3</v>
      </c>
      <c r="B27" s="157"/>
      <c r="C27" s="157"/>
      <c r="D27" s="167"/>
      <c r="E27" s="811" t="str">
        <f>IFERROR(D27*VLOOKUP(C27,'Commute Calcs'!$K$7:$M$57,3,FALSE)*('DESNZ Cat 6-9'!$R$29+'DESNZ Cat 6-9'!$S$29)/1000+N("number of visits x state-specific round trip commute distance x (weighted avg emissions for car &amp; SUV for different fuel types + weighted avg WTT emissions for car &amp; SUV for different fuel types)"),"")</f>
        <v/>
      </c>
    </row>
    <row r="28" spans="1:11" ht="15">
      <c r="A28" s="207">
        <v>4</v>
      </c>
      <c r="B28" s="157"/>
      <c r="C28" s="157"/>
      <c r="D28" s="167"/>
      <c r="E28" s="811" t="str">
        <f>IFERROR(D28*VLOOKUP(C28,'Commute Calcs'!$K$7:$M$57,3,FALSE)*('DESNZ Cat 6-9'!$R$29+'DESNZ Cat 6-9'!$S$29)/1000+N("number of visits x state-specific round trip commute distance x (weighted avg emissions for car &amp; SUV for different fuel types + weighted avg WTT emissions for car &amp; SUV for different fuel types)"),"")</f>
        <v/>
      </c>
    </row>
    <row r="29" spans="1:11" ht="15">
      <c r="A29" s="207">
        <v>5</v>
      </c>
      <c r="B29" s="157"/>
      <c r="C29" s="157"/>
      <c r="D29" s="167"/>
      <c r="E29" s="811" t="str">
        <f>IFERROR(D29*VLOOKUP(C29,'Commute Calcs'!$K$7:$M$57,3,FALSE)*('DESNZ Cat 6-9'!$R$29+'DESNZ Cat 6-9'!$S$29)/1000+N("number of visits x state-specific round trip commute distance x (weighted avg emissions for car &amp; SUV for different fuel types + weighted avg WTT emissions for car &amp; SUV for different fuel types)"),"")</f>
        <v/>
      </c>
    </row>
    <row r="30" spans="1:11" ht="15">
      <c r="A30" s="207">
        <v>6</v>
      </c>
      <c r="B30" s="157"/>
      <c r="C30" s="157"/>
      <c r="D30" s="167"/>
      <c r="E30" s="811" t="str">
        <f>IFERROR(D30*VLOOKUP(C30,'Commute Calcs'!$K$7:$M$57,3,FALSE)*('DESNZ Cat 6-9'!$R$29+'DESNZ Cat 6-9'!$S$29)/1000+N("number of visits x state-specific round trip commute distance x (weighted avg emissions for car &amp; SUV for different fuel types + weighted avg WTT emissions for car &amp; SUV for different fuel types)"),"")</f>
        <v/>
      </c>
    </row>
    <row r="31" spans="1:11" ht="15">
      <c r="A31" s="207">
        <v>7</v>
      </c>
      <c r="B31" s="157"/>
      <c r="C31" s="157"/>
      <c r="D31" s="167"/>
      <c r="E31" s="811" t="str">
        <f>IFERROR(D31*VLOOKUP(C31,'Commute Calcs'!$K$7:$M$57,3,FALSE)*('DESNZ Cat 6-9'!$R$29+'DESNZ Cat 6-9'!$S$29)/1000+N("number of visits x state-specific round trip commute distance x (weighted avg emissions for car &amp; SUV for different fuel types + weighted avg WTT emissions for car &amp; SUV for different fuel types)"),"")</f>
        <v/>
      </c>
    </row>
    <row r="32" spans="1:11" ht="15">
      <c r="A32" s="207">
        <v>8</v>
      </c>
      <c r="B32" s="157"/>
      <c r="C32" s="157"/>
      <c r="D32" s="167"/>
      <c r="E32" s="811" t="str">
        <f>IFERROR(D32*VLOOKUP(C32,'Commute Calcs'!$K$7:$M$57,3,FALSE)*('DESNZ Cat 6-9'!$R$29+'DESNZ Cat 6-9'!$S$29)/1000+N("number of visits x state-specific round trip commute distance x (weighted avg emissions for car &amp; SUV for different fuel types + weighted avg WTT emissions for car &amp; SUV for different fuel types)"),"")</f>
        <v/>
      </c>
    </row>
    <row r="33" spans="1:6" ht="15">
      <c r="A33" s="207">
        <v>9</v>
      </c>
      <c r="B33" s="157"/>
      <c r="C33" s="157"/>
      <c r="D33" s="167"/>
      <c r="E33" s="811" t="str">
        <f>IFERROR(D33*VLOOKUP(C33,'Commute Calcs'!$K$7:$M$57,3,FALSE)*('DESNZ Cat 6-9'!$R$29+'DESNZ Cat 6-9'!$S$29)/1000+N("number of visits x state-specific round trip commute distance x (weighted avg emissions for car &amp; SUV for different fuel types + weighted avg WTT emissions for car &amp; SUV for different fuel types)"),"")</f>
        <v/>
      </c>
    </row>
    <row r="34" spans="1:6" ht="15">
      <c r="A34" s="207">
        <v>10</v>
      </c>
      <c r="B34" s="157"/>
      <c r="C34" s="157"/>
      <c r="D34" s="167"/>
      <c r="E34" s="811" t="str">
        <f>IFERROR(D34*VLOOKUP(C34,'Commute Calcs'!$K$7:$M$57,3,FALSE)*('DESNZ Cat 6-9'!$R$29+'DESNZ Cat 6-9'!$S$29)/1000+N("number of visits x state-specific round trip commute distance x (weighted avg emissions for car &amp; SUV for different fuel types + weighted avg WTT emissions for car &amp; SUV for different fuel types)"),"")</f>
        <v/>
      </c>
    </row>
    <row r="35" spans="1:6" ht="15">
      <c r="A35" s="207">
        <v>11</v>
      </c>
      <c r="B35" s="157"/>
      <c r="C35" s="157"/>
      <c r="D35" s="167"/>
      <c r="E35" s="811" t="str">
        <f>IFERROR(D35*VLOOKUP(C35,'Commute Calcs'!$K$7:$M$57,3,FALSE)*('DESNZ Cat 6-9'!$R$29+'DESNZ Cat 6-9'!$S$29)/1000+N("number of visits x state-specific round trip commute distance x (weighted avg emissions for car &amp; SUV for different fuel types + weighted avg WTT emissions for car &amp; SUV for different fuel types)"),"")</f>
        <v/>
      </c>
    </row>
    <row r="36" spans="1:6" ht="15">
      <c r="A36" s="207">
        <v>12</v>
      </c>
      <c r="B36" s="157"/>
      <c r="C36" s="157"/>
      <c r="D36" s="167"/>
      <c r="E36" s="811" t="str">
        <f>IFERROR(D36*VLOOKUP(C36,'Commute Calcs'!$K$7:$M$57,3,FALSE)*('DESNZ Cat 6-9'!$R$29+'DESNZ Cat 6-9'!$S$29)/1000+N("number of visits x state-specific round trip commute distance x (weighted avg emissions for car &amp; SUV for different fuel types + weighted avg WTT emissions for car &amp; SUV for different fuel types)"),"")</f>
        <v/>
      </c>
    </row>
    <row r="37" spans="1:6" ht="15">
      <c r="A37" s="207">
        <v>13</v>
      </c>
      <c r="B37" s="157"/>
      <c r="C37" s="157"/>
      <c r="D37" s="167"/>
      <c r="E37" s="811" t="str">
        <f>IFERROR(D37*VLOOKUP(C37,'Commute Calcs'!$K$7:$M$57,3,FALSE)*('DESNZ Cat 6-9'!$R$29+'DESNZ Cat 6-9'!$S$29)/1000+N("number of visits x state-specific round trip commute distance x (weighted avg emissions for car &amp; SUV for different fuel types + weighted avg WTT emissions for car &amp; SUV for different fuel types)"),"")</f>
        <v/>
      </c>
    </row>
    <row r="38" spans="1:6" ht="15">
      <c r="A38" s="207">
        <v>14</v>
      </c>
      <c r="B38" s="157"/>
      <c r="C38" s="157"/>
      <c r="D38" s="167"/>
      <c r="E38" s="811" t="str">
        <f>IFERROR(D38*VLOOKUP(C38,'Commute Calcs'!$K$7:$M$57,3,FALSE)*('DESNZ Cat 6-9'!$R$29+'DESNZ Cat 6-9'!$S$29)/1000+N("number of visits x state-specific round trip commute distance x (weighted avg emissions for car &amp; SUV for different fuel types + weighted avg WTT emissions for car &amp; SUV for different fuel types)"),"")</f>
        <v/>
      </c>
    </row>
    <row r="39" spans="1:6" ht="15">
      <c r="A39" s="207">
        <v>15</v>
      </c>
      <c r="B39" s="157"/>
      <c r="C39" s="157"/>
      <c r="D39" s="167"/>
      <c r="E39" s="811" t="str">
        <f>IFERROR(D39*VLOOKUP(C39,'Commute Calcs'!$K$7:$M$57,3,FALSE)*('DESNZ Cat 6-9'!$R$29+'DESNZ Cat 6-9'!$S$29)/1000+N("number of visits x state-specific round trip commute distance x (weighted avg emissions for car &amp; SUV for different fuel types + weighted avg WTT emissions for car &amp; SUV for different fuel types)"),"")</f>
        <v/>
      </c>
    </row>
    <row r="40" spans="1:6" ht="15">
      <c r="A40" s="207">
        <v>16</v>
      </c>
      <c r="B40" s="157"/>
      <c r="C40" s="157"/>
      <c r="D40" s="167"/>
      <c r="E40" s="811" t="str">
        <f>IFERROR(D40*VLOOKUP(C40,'Commute Calcs'!$K$7:$M$57,3,FALSE)*('DESNZ Cat 6-9'!$R$29+'DESNZ Cat 6-9'!$S$29)/1000+N("number of visits x state-specific round trip commute distance x (weighted avg emissions for car &amp; SUV for different fuel types + weighted avg WTT emissions for car &amp; SUV for different fuel types)"),"")</f>
        <v/>
      </c>
    </row>
    <row r="41" spans="1:6" ht="15">
      <c r="A41" s="207">
        <v>17</v>
      </c>
      <c r="B41" s="157"/>
      <c r="C41" s="157"/>
      <c r="D41" s="167"/>
      <c r="E41" s="811" t="str">
        <f>IFERROR(D41*VLOOKUP(C41,'Commute Calcs'!$K$7:$M$57,3,FALSE)*('DESNZ Cat 6-9'!$R$29+'DESNZ Cat 6-9'!$S$29)/1000+N("number of visits x state-specific round trip commute distance x (weighted avg emissions for car &amp; SUV for different fuel types + weighted avg WTT emissions for car &amp; SUV for different fuel types)"),"")</f>
        <v/>
      </c>
    </row>
    <row r="42" spans="1:6" ht="15">
      <c r="A42" s="207">
        <v>18</v>
      </c>
      <c r="B42" s="157"/>
      <c r="C42" s="157"/>
      <c r="D42" s="167"/>
      <c r="E42" s="811" t="str">
        <f>IFERROR(D42*VLOOKUP(C42,'Commute Calcs'!$K$7:$M$57,3,FALSE)*('DESNZ Cat 6-9'!$R$29+'DESNZ Cat 6-9'!$S$29)/1000+N("number of visits x state-specific round trip commute distance x (weighted avg emissions for car &amp; SUV for different fuel types + weighted avg WTT emissions for car &amp; SUV for different fuel types)"),"")</f>
        <v/>
      </c>
    </row>
    <row r="43" spans="1:6" ht="15">
      <c r="A43" s="207">
        <v>19</v>
      </c>
      <c r="B43" s="157"/>
      <c r="C43" s="157"/>
      <c r="D43" s="167"/>
      <c r="E43" s="811" t="str">
        <f>IFERROR(D43*VLOOKUP(C43,'Commute Calcs'!$K$7:$M$57,3,FALSE)*('DESNZ Cat 6-9'!$R$29+'DESNZ Cat 6-9'!$S$29)/1000+N("number of visits x state-specific round trip commute distance x (weighted avg emissions for car &amp; SUV for different fuel types + weighted avg WTT emissions for car &amp; SUV for different fuel types)"),"")</f>
        <v/>
      </c>
    </row>
    <row r="44" spans="1:6" ht="15.75" thickBot="1">
      <c r="A44" s="207">
        <v>20</v>
      </c>
      <c r="B44" s="157"/>
      <c r="C44" s="157"/>
      <c r="D44" s="167"/>
      <c r="E44" s="811" t="str">
        <f>IFERROR(D44*VLOOKUP(C44,'Commute Calcs'!$K$7:$M$57,3,FALSE)*('DESNZ Cat 6-9'!$R$29+'DESNZ Cat 6-9'!$S$29)/1000+N("number of visits x state-specific round trip commute distance x (weighted avg emissions for car &amp; SUV for different fuel types + weighted avg WTT emissions for car &amp; SUV for different fuel types)"),"")</f>
        <v/>
      </c>
    </row>
    <row r="45" spans="1:6" ht="15" thickBot="1">
      <c r="D45" s="218" t="s">
        <v>1268</v>
      </c>
      <c r="E45" s="179">
        <f>SUM(E26:E44)</f>
        <v>0</v>
      </c>
    </row>
    <row r="46" spans="1:6" ht="15" thickBot="1">
      <c r="D46" s="256" t="s">
        <v>1268</v>
      </c>
      <c r="E46" s="257"/>
      <c r="F46" s="236" t="s">
        <v>4097</v>
      </c>
    </row>
    <row r="48" spans="1:6" ht="18.75">
      <c r="A48" s="203" t="s">
        <v>1428</v>
      </c>
    </row>
    <row r="49" spans="1:11">
      <c r="A49" s="204" t="s">
        <v>1237</v>
      </c>
    </row>
    <row r="50" spans="1:11" s="30" customFormat="1" ht="8.25" customHeight="1">
      <c r="A50" s="267"/>
      <c r="C50" s="719"/>
      <c r="H50"/>
      <c r="I50" s="267"/>
      <c r="K50" s="719"/>
    </row>
    <row r="51" spans="1:11">
      <c r="B51" s="814" t="s">
        <v>312</v>
      </c>
      <c r="C51" s="814" t="s">
        <v>312</v>
      </c>
      <c r="D51" s="814" t="s">
        <v>312</v>
      </c>
    </row>
    <row r="52" spans="1:11" ht="30">
      <c r="A52" s="205" t="s">
        <v>1238</v>
      </c>
      <c r="B52" s="206" t="s">
        <v>1300</v>
      </c>
      <c r="C52" s="215" t="s">
        <v>4055</v>
      </c>
      <c r="D52" s="205" t="s">
        <v>1426</v>
      </c>
      <c r="E52" s="216" t="s">
        <v>322</v>
      </c>
    </row>
    <row r="53" spans="1:11" ht="15">
      <c r="A53" s="207">
        <v>1</v>
      </c>
      <c r="B53" s="147" t="s">
        <v>1429</v>
      </c>
      <c r="C53" s="147" t="s">
        <v>1396</v>
      </c>
      <c r="D53" s="253">
        <v>1000000</v>
      </c>
      <c r="E53" s="283">
        <f>IFERROR(D53*VLOOKUP(C53,'Commute Calcs'!$K$7:$M$57,3,FALSE)*('DESNZ Cat 6-9'!$R$29+'DESNZ Cat 6-9'!$S$29)/1000+N("number of visits x state-specific round trip commute distance x (weighted avg emissions for car &amp; SUV for different fuel types + weighted avg WTT emissions for car &amp; SUV for different fuel types)"),"")</f>
        <v>4826.2403538640174</v>
      </c>
    </row>
    <row r="54" spans="1:11" ht="15">
      <c r="A54" s="207">
        <v>2</v>
      </c>
      <c r="B54" s="157"/>
      <c r="C54" s="157"/>
      <c r="D54" s="167"/>
      <c r="E54" s="810" t="str">
        <f>IFERROR(D54*VLOOKUP(C54,'Commute Calcs'!$K$7:$M$57,3,FALSE)*('DESNZ Cat 6-9'!$R$29+'DESNZ Cat 6-9'!$S$29)/1000+N("number of visits x state-specific round trip commute distance x (weighted avg emissions for car &amp; SUV for different fuel types + weighted avg WTT emissions for car &amp; SUV for different fuel types)"),"")</f>
        <v/>
      </c>
    </row>
    <row r="55" spans="1:11" ht="15">
      <c r="A55" s="207">
        <v>3</v>
      </c>
      <c r="B55" s="157"/>
      <c r="C55" s="157"/>
      <c r="D55" s="167"/>
      <c r="E55" s="810" t="str">
        <f>IFERROR(D55*VLOOKUP(C55,'Commute Calcs'!$K$7:$M$57,3,FALSE)*('DESNZ Cat 6-9'!$R$29+'DESNZ Cat 6-9'!$S$29)/1000+N("number of visits x state-specific round trip commute distance x (weighted avg emissions for car &amp; SUV for different fuel types + weighted avg WTT emissions for car &amp; SUV for different fuel types)"),"")</f>
        <v/>
      </c>
    </row>
    <row r="56" spans="1:11" ht="15">
      <c r="A56" s="207">
        <v>4</v>
      </c>
      <c r="B56" s="157"/>
      <c r="C56" s="157"/>
      <c r="D56" s="167"/>
      <c r="E56" s="810" t="str">
        <f>IFERROR(D56*VLOOKUP(C56,'Commute Calcs'!$K$7:$M$57,3,FALSE)*('DESNZ Cat 6-9'!$R$29+'DESNZ Cat 6-9'!$S$29)/1000+N("number of visits x state-specific round trip commute distance x (weighted avg emissions for car &amp; SUV for different fuel types + weighted avg WTT emissions for car &amp; SUV for different fuel types)"),"")</f>
        <v/>
      </c>
    </row>
    <row r="57" spans="1:11" ht="15">
      <c r="A57" s="207">
        <v>5</v>
      </c>
      <c r="B57" s="157"/>
      <c r="C57" s="157"/>
      <c r="D57" s="167"/>
      <c r="E57" s="810" t="str">
        <f>IFERROR(D57*VLOOKUP(C57,'Commute Calcs'!$K$7:$M$57,3,FALSE)*('DESNZ Cat 6-9'!$R$29+'DESNZ Cat 6-9'!$S$29)/1000+N("number of visits x state-specific round trip commute distance x (weighted avg emissions for car &amp; SUV for different fuel types + weighted avg WTT emissions for car &amp; SUV for different fuel types)"),"")</f>
        <v/>
      </c>
    </row>
    <row r="58" spans="1:11" ht="15">
      <c r="A58" s="207">
        <v>6</v>
      </c>
      <c r="B58" s="157"/>
      <c r="C58" s="157"/>
      <c r="D58" s="167"/>
      <c r="E58" s="810" t="str">
        <f>IFERROR(D58*VLOOKUP(C58,'Commute Calcs'!$K$7:$M$57,3,FALSE)*('DESNZ Cat 6-9'!$R$29+'DESNZ Cat 6-9'!$S$29)/1000+N("number of visits x state-specific round trip commute distance x (weighted avg emissions for car &amp; SUV for different fuel types + weighted avg WTT emissions for car &amp; SUV for different fuel types)"),"")</f>
        <v/>
      </c>
    </row>
    <row r="59" spans="1:11" ht="15">
      <c r="A59" s="207">
        <v>7</v>
      </c>
      <c r="B59" s="157"/>
      <c r="C59" s="157"/>
      <c r="D59" s="167"/>
      <c r="E59" s="810" t="str">
        <f>IFERROR(D59*VLOOKUP(C59,'Commute Calcs'!$K$7:$M$57,3,FALSE)*('DESNZ Cat 6-9'!$R$29+'DESNZ Cat 6-9'!$S$29)/1000+N("number of visits x state-specific round trip commute distance x (weighted avg emissions for car &amp; SUV for different fuel types + weighted avg WTT emissions for car &amp; SUV for different fuel types)"),"")</f>
        <v/>
      </c>
    </row>
    <row r="60" spans="1:11" ht="15">
      <c r="A60" s="207">
        <v>8</v>
      </c>
      <c r="B60" s="157"/>
      <c r="C60" s="157"/>
      <c r="D60" s="167"/>
      <c r="E60" s="810" t="str">
        <f>IFERROR(D60*VLOOKUP(C60,'Commute Calcs'!$K$7:$M$57,3,FALSE)*('DESNZ Cat 6-9'!$R$29+'DESNZ Cat 6-9'!$S$29)/1000+N("number of visits x state-specific round trip commute distance x (weighted avg emissions for car &amp; SUV for different fuel types + weighted avg WTT emissions for car &amp; SUV for different fuel types)"),"")</f>
        <v/>
      </c>
    </row>
    <row r="61" spans="1:11" ht="15">
      <c r="A61" s="207">
        <v>9</v>
      </c>
      <c r="B61" s="157"/>
      <c r="C61" s="157"/>
      <c r="D61" s="167"/>
      <c r="E61" s="810" t="str">
        <f>IFERROR(D61*VLOOKUP(C61,'Commute Calcs'!$K$7:$M$57,3,FALSE)*('DESNZ Cat 6-9'!$R$29+'DESNZ Cat 6-9'!$S$29)/1000+N("number of visits x state-specific round trip commute distance x (weighted avg emissions for car &amp; SUV for different fuel types + weighted avg WTT emissions for car &amp; SUV for different fuel types)"),"")</f>
        <v/>
      </c>
    </row>
    <row r="62" spans="1:11" ht="15">
      <c r="A62" s="207">
        <v>10</v>
      </c>
      <c r="B62" s="157"/>
      <c r="C62" s="157"/>
      <c r="D62" s="167"/>
      <c r="E62" s="810" t="str">
        <f>IFERROR(D62*VLOOKUP(C62,'Commute Calcs'!$K$7:$M$57,3,FALSE)*('DESNZ Cat 6-9'!$R$29+'DESNZ Cat 6-9'!$S$29)/1000+N("number of visits x state-specific round trip commute distance x (weighted avg emissions for car &amp; SUV for different fuel types + weighted avg WTT emissions for car &amp; SUV for different fuel types)"),"")</f>
        <v/>
      </c>
    </row>
    <row r="63" spans="1:11" ht="15">
      <c r="A63" s="207">
        <v>11</v>
      </c>
      <c r="B63" s="157"/>
      <c r="C63" s="157"/>
      <c r="D63" s="167"/>
      <c r="E63" s="810" t="str">
        <f>IFERROR(D63*VLOOKUP(C63,'Commute Calcs'!$K$7:$M$57,3,FALSE)*('DESNZ Cat 6-9'!$R$29+'DESNZ Cat 6-9'!$S$29)/1000+N("number of visits x state-specific round trip commute distance x (weighted avg emissions for car &amp; SUV for different fuel types + weighted avg WTT emissions for car &amp; SUV for different fuel types)"),"")</f>
        <v/>
      </c>
    </row>
    <row r="64" spans="1:11" ht="15">
      <c r="A64" s="207">
        <v>12</v>
      </c>
      <c r="B64" s="157"/>
      <c r="C64" s="157"/>
      <c r="D64" s="167"/>
      <c r="E64" s="810" t="str">
        <f>IFERROR(D64*VLOOKUP(C64,'Commute Calcs'!$K$7:$M$57,3,FALSE)*('DESNZ Cat 6-9'!$R$29+'DESNZ Cat 6-9'!$S$29)/1000+N("number of visits x state-specific round trip commute distance x (weighted avg emissions for car &amp; SUV for different fuel types + weighted avg WTT emissions for car &amp; SUV for different fuel types)"),"")</f>
        <v/>
      </c>
    </row>
    <row r="65" spans="1:11" ht="15">
      <c r="A65" s="207">
        <v>13</v>
      </c>
      <c r="B65" s="157"/>
      <c r="C65" s="157"/>
      <c r="D65" s="167"/>
      <c r="E65" s="810" t="str">
        <f>IFERROR(D65*VLOOKUP(C65,'Commute Calcs'!$K$7:$M$57,3,FALSE)*('DESNZ Cat 6-9'!$R$29+'DESNZ Cat 6-9'!$S$29)/1000+N("number of visits x state-specific round trip commute distance x (weighted avg emissions for car &amp; SUV for different fuel types + weighted avg WTT emissions for car &amp; SUV for different fuel types)"),"")</f>
        <v/>
      </c>
    </row>
    <row r="66" spans="1:11" ht="15">
      <c r="A66" s="207">
        <v>14</v>
      </c>
      <c r="B66" s="157"/>
      <c r="C66" s="157"/>
      <c r="D66" s="167"/>
      <c r="E66" s="810" t="str">
        <f>IFERROR(D66*VLOOKUP(C66,'Commute Calcs'!$K$7:$M$57,3,FALSE)*('DESNZ Cat 6-9'!$R$29+'DESNZ Cat 6-9'!$S$29)/1000+N("number of visits x state-specific round trip commute distance x (weighted avg emissions for car &amp; SUV for different fuel types + weighted avg WTT emissions for car &amp; SUV for different fuel types)"),"")</f>
        <v/>
      </c>
    </row>
    <row r="67" spans="1:11" ht="15">
      <c r="A67" s="207">
        <v>15</v>
      </c>
      <c r="B67" s="157"/>
      <c r="C67" s="157"/>
      <c r="D67" s="167"/>
      <c r="E67" s="810" t="str">
        <f>IFERROR(D67*VLOOKUP(C67,'Commute Calcs'!$K$7:$M$57,3,FALSE)*('DESNZ Cat 6-9'!$R$29+'DESNZ Cat 6-9'!$S$29)/1000+N("number of visits x state-specific round trip commute distance x (weighted avg emissions for car &amp; SUV for different fuel types + weighted avg WTT emissions for car &amp; SUV for different fuel types)"),"")</f>
        <v/>
      </c>
    </row>
    <row r="68" spans="1:11" ht="15">
      <c r="A68" s="207">
        <v>16</v>
      </c>
      <c r="B68" s="157"/>
      <c r="C68" s="157"/>
      <c r="D68" s="167"/>
      <c r="E68" s="810" t="str">
        <f>IFERROR(D68*VLOOKUP(C68,'Commute Calcs'!$K$7:$M$57,3,FALSE)*('DESNZ Cat 6-9'!$R$29+'DESNZ Cat 6-9'!$S$29)/1000+N("number of visits x state-specific round trip commute distance x (weighted avg emissions for car &amp; SUV for different fuel types + weighted avg WTT emissions for car &amp; SUV for different fuel types)"),"")</f>
        <v/>
      </c>
    </row>
    <row r="69" spans="1:11" ht="15">
      <c r="A69" s="207">
        <v>17</v>
      </c>
      <c r="B69" s="157"/>
      <c r="C69" s="157"/>
      <c r="D69" s="167"/>
      <c r="E69" s="810" t="str">
        <f>IFERROR(D69*VLOOKUP(C69,'Commute Calcs'!$K$7:$M$57,3,FALSE)*('DESNZ Cat 6-9'!$R$29+'DESNZ Cat 6-9'!$S$29)/1000+N("number of visits x state-specific round trip commute distance x (weighted avg emissions for car &amp; SUV for different fuel types + weighted avg WTT emissions for car &amp; SUV for different fuel types)"),"")</f>
        <v/>
      </c>
    </row>
    <row r="70" spans="1:11" ht="15">
      <c r="A70" s="207">
        <v>18</v>
      </c>
      <c r="B70" s="157"/>
      <c r="C70" s="157"/>
      <c r="D70" s="167"/>
      <c r="E70" s="810" t="str">
        <f>IFERROR(D70*VLOOKUP(C70,'Commute Calcs'!$K$7:$M$57,3,FALSE)*('DESNZ Cat 6-9'!$R$29+'DESNZ Cat 6-9'!$S$29)/1000+N("number of visits x state-specific round trip commute distance x (weighted avg emissions for car &amp; SUV for different fuel types + weighted avg WTT emissions for car &amp; SUV for different fuel types)"),"")</f>
        <v/>
      </c>
    </row>
    <row r="71" spans="1:11" ht="15">
      <c r="A71" s="207">
        <v>19</v>
      </c>
      <c r="B71" s="157"/>
      <c r="C71" s="157"/>
      <c r="D71" s="167"/>
      <c r="E71" s="810" t="str">
        <f>IFERROR(D71*VLOOKUP(C71,'Commute Calcs'!$K$7:$M$57,3,FALSE)*('DESNZ Cat 6-9'!$R$29+'DESNZ Cat 6-9'!$S$29)/1000+N("number of visits x state-specific round trip commute distance x (weighted avg emissions for car &amp; SUV for different fuel types + weighted avg WTT emissions for car &amp; SUV for different fuel types)"),"")</f>
        <v/>
      </c>
    </row>
    <row r="72" spans="1:11" ht="15.75" thickBot="1">
      <c r="A72" s="207">
        <v>20</v>
      </c>
      <c r="B72" s="157"/>
      <c r="C72" s="157"/>
      <c r="D72" s="167"/>
      <c r="E72" s="810" t="str">
        <f>IFERROR(D72*VLOOKUP(C72,'Commute Calcs'!$K$7:$M$57,3,FALSE)*('DESNZ Cat 6-9'!$R$29+'DESNZ Cat 6-9'!$S$29)/1000+N("number of visits x state-specific round trip commute distance x (weighted avg emissions for car &amp; SUV for different fuel types + weighted avg WTT emissions for car &amp; SUV for different fuel types)"),"")</f>
        <v/>
      </c>
    </row>
    <row r="73" spans="1:11" ht="15" thickBot="1">
      <c r="D73" s="218" t="s">
        <v>1268</v>
      </c>
      <c r="E73" s="179">
        <f>SUM(E54:E72)</f>
        <v>0</v>
      </c>
    </row>
    <row r="74" spans="1:11" ht="15" thickBot="1">
      <c r="D74" s="256" t="s">
        <v>1268</v>
      </c>
      <c r="E74" s="257"/>
      <c r="F74" s="236" t="s">
        <v>4091</v>
      </c>
    </row>
    <row r="76" spans="1:11" ht="18.75">
      <c r="A76" s="203" t="s">
        <v>1430</v>
      </c>
    </row>
    <row r="77" spans="1:11">
      <c r="A77" s="204" t="s">
        <v>1237</v>
      </c>
    </row>
    <row r="78" spans="1:11" s="30" customFormat="1" ht="8.25" customHeight="1">
      <c r="A78" s="267"/>
      <c r="C78" s="719"/>
      <c r="H78"/>
      <c r="I78" s="267"/>
      <c r="K78" s="719"/>
    </row>
    <row r="79" spans="1:11">
      <c r="B79" s="814" t="s">
        <v>312</v>
      </c>
      <c r="C79" s="814"/>
      <c r="D79" s="814" t="s">
        <v>312</v>
      </c>
    </row>
    <row r="80" spans="1:11" ht="45">
      <c r="A80" s="205" t="s">
        <v>1238</v>
      </c>
      <c r="B80" s="206" t="s">
        <v>1300</v>
      </c>
      <c r="C80" s="215" t="s">
        <v>4055</v>
      </c>
      <c r="D80" s="205" t="s">
        <v>1431</v>
      </c>
      <c r="E80" s="216" t="s">
        <v>1432</v>
      </c>
      <c r="F80" s="216" t="s">
        <v>4072</v>
      </c>
      <c r="G80" s="216" t="s">
        <v>322</v>
      </c>
    </row>
    <row r="81" spans="1:7" ht="15">
      <c r="A81" s="207">
        <v>1</v>
      </c>
      <c r="B81" s="147" t="s">
        <v>1433</v>
      </c>
      <c r="C81" s="147" t="s">
        <v>1396</v>
      </c>
      <c r="D81" s="254">
        <v>800</v>
      </c>
      <c r="E81" s="284">
        <v>50</v>
      </c>
      <c r="F81" s="828">
        <f>IF(OR(ISBLANK(D81),ISBLANK(E81)),"",('State eGrid factors'!$A$3/1000)*D81*(E81/60))</f>
        <v>100</v>
      </c>
      <c r="G81" s="285">
        <f>IFERROR(F81*VLOOKUP(C81,'State eGrid factors'!E:M,9,FALSE)+(F81/(1-EF!$E$34)*EF!$E$29/1000)+(F81*EF!$E$33/1000),"")</f>
        <v>5.4938202072025891E-2</v>
      </c>
    </row>
    <row r="82" spans="1:7" ht="15">
      <c r="A82" s="207">
        <v>2</v>
      </c>
      <c r="B82" s="157"/>
      <c r="C82" s="150"/>
      <c r="D82" s="255"/>
      <c r="E82" s="821"/>
      <c r="F82" s="829" t="str">
        <f>IF(OR(ISBLANK(D82),ISBLANK(E82)),"",('State eGrid factors'!$A$3/1000)*D82*(E82/60))</f>
        <v/>
      </c>
      <c r="G82" s="822" t="str">
        <f>IFERROR(F82*VLOOKUP(C82,'State eGrid factors'!E:M,9,FALSE)+(F82/(1-EF!$E$34)*EF!$E$29/1000)+(F82*EF!$E$33/1000),"")</f>
        <v/>
      </c>
    </row>
    <row r="83" spans="1:7" ht="15">
      <c r="A83" s="207">
        <v>3</v>
      </c>
      <c r="B83" s="157"/>
      <c r="C83" s="150"/>
      <c r="D83" s="255"/>
      <c r="E83" s="821"/>
      <c r="F83" s="829" t="str">
        <f>IF(OR(ISBLANK(D83),ISBLANK(E83)),"",('State eGrid factors'!$A$3/1000)*D83*(E83/60))</f>
        <v/>
      </c>
      <c r="G83" s="822" t="str">
        <f>IFERROR(F83*VLOOKUP(C83,'State eGrid factors'!E:M,9,FALSE)+(F83/(1-EF!$E$34)*EF!$E$29/1000)+(F83*EF!$E$33/1000),"")</f>
        <v/>
      </c>
    </row>
    <row r="84" spans="1:7" ht="15">
      <c r="A84" s="207">
        <v>4</v>
      </c>
      <c r="B84" s="157"/>
      <c r="C84" s="150"/>
      <c r="D84" s="255"/>
      <c r="E84" s="821"/>
      <c r="F84" s="829" t="str">
        <f>IF(OR(ISBLANK(D84),ISBLANK(E84)),"",('State eGrid factors'!$A$3/1000)*D84*(E84/60))</f>
        <v/>
      </c>
      <c r="G84" s="822" t="str">
        <f>IFERROR(F84*VLOOKUP(C84,'State eGrid factors'!E:M,9,FALSE)+(F84/(1-EF!$E$34)*EF!$E$29/1000)+(F84*EF!$E$33/1000),"")</f>
        <v/>
      </c>
    </row>
    <row r="85" spans="1:7" ht="15">
      <c r="A85" s="207">
        <v>5</v>
      </c>
      <c r="B85" s="157"/>
      <c r="C85" s="150"/>
      <c r="D85" s="255"/>
      <c r="E85" s="821"/>
      <c r="F85" s="829" t="str">
        <f>IF(OR(ISBLANK(D85),ISBLANK(E85)),"",('State eGrid factors'!$A$3/1000)*D85*(E85/60))</f>
        <v/>
      </c>
      <c r="G85" s="822" t="str">
        <f>IFERROR(F85*VLOOKUP(C85,'State eGrid factors'!E:M,9,FALSE)+(F85/(1-EF!$E$34)*EF!$E$29/1000)+(F85*EF!$E$33/1000),"")</f>
        <v/>
      </c>
    </row>
    <row r="86" spans="1:7" ht="15">
      <c r="A86" s="207">
        <v>6</v>
      </c>
      <c r="B86" s="157"/>
      <c r="C86" s="150"/>
      <c r="D86" s="255"/>
      <c r="E86" s="821"/>
      <c r="F86" s="829" t="str">
        <f>IF(OR(ISBLANK(D86),ISBLANK(E86)),"",('State eGrid factors'!$A$3/1000)*D86*(E86/60))</f>
        <v/>
      </c>
      <c r="G86" s="822" t="str">
        <f>IFERROR(F86*VLOOKUP(C86,'State eGrid factors'!E:M,9,FALSE)+(F86/(1-EF!$E$34)*EF!$E$29/1000)+(F86*EF!$E$33/1000),"")</f>
        <v/>
      </c>
    </row>
    <row r="87" spans="1:7" ht="15">
      <c r="A87" s="207">
        <v>7</v>
      </c>
      <c r="B87" s="157"/>
      <c r="C87" s="150"/>
      <c r="D87" s="255"/>
      <c r="E87" s="821"/>
      <c r="F87" s="829" t="str">
        <f>IF(OR(ISBLANK(D87),ISBLANK(E87)),"",('State eGrid factors'!$A$3/1000)*D87*(E87/60))</f>
        <v/>
      </c>
      <c r="G87" s="822" t="str">
        <f>IFERROR(F87*VLOOKUP(C87,'State eGrid factors'!E:M,9,FALSE)+(F87/(1-EF!$E$34)*EF!$E$29/1000)+(F87*EF!$E$33/1000),"")</f>
        <v/>
      </c>
    </row>
    <row r="88" spans="1:7" ht="15">
      <c r="A88" s="207">
        <v>8</v>
      </c>
      <c r="B88" s="157"/>
      <c r="C88" s="150"/>
      <c r="D88" s="255"/>
      <c r="E88" s="821"/>
      <c r="F88" s="829" t="str">
        <f>IF(OR(ISBLANK(D88),ISBLANK(E88)),"",('State eGrid factors'!$A$3/1000)*D88*(E88/60))</f>
        <v/>
      </c>
      <c r="G88" s="822" t="str">
        <f>IFERROR(F88*VLOOKUP(C88,'State eGrid factors'!E:M,9,FALSE)+(F88/(1-EF!$E$34)*EF!$E$29/1000)+(F88*EF!$E$33/1000),"")</f>
        <v/>
      </c>
    </row>
    <row r="89" spans="1:7" ht="15">
      <c r="A89" s="207">
        <v>9</v>
      </c>
      <c r="B89" s="157"/>
      <c r="C89" s="150"/>
      <c r="D89" s="255"/>
      <c r="E89" s="821"/>
      <c r="F89" s="829" t="str">
        <f>IF(OR(ISBLANK(D89),ISBLANK(E89)),"",('State eGrid factors'!$A$3/1000)*D89*(E89/60))</f>
        <v/>
      </c>
      <c r="G89" s="822" t="str">
        <f>IFERROR(F89*VLOOKUP(C89,'State eGrid factors'!E:M,9,FALSE)+(F89/(1-EF!$E$34)*EF!$E$29/1000)+(F89*EF!$E$33/1000),"")</f>
        <v/>
      </c>
    </row>
    <row r="90" spans="1:7" ht="15">
      <c r="A90" s="207">
        <v>10</v>
      </c>
      <c r="B90" s="157"/>
      <c r="C90" s="150"/>
      <c r="D90" s="255"/>
      <c r="E90" s="821"/>
      <c r="F90" s="829" t="str">
        <f>IF(OR(ISBLANK(D90),ISBLANK(E90)),"",('State eGrid factors'!$A$3/1000)*D90*(E90/60))</f>
        <v/>
      </c>
      <c r="G90" s="822" t="str">
        <f>IFERROR(F90*VLOOKUP(C90,'State eGrid factors'!E:M,9,FALSE)+(F90/(1-EF!$E$34)*EF!$E$29/1000)+(F90*EF!$E$33/1000),"")</f>
        <v/>
      </c>
    </row>
    <row r="91" spans="1:7" ht="15">
      <c r="A91" s="207">
        <v>11</v>
      </c>
      <c r="B91" s="157"/>
      <c r="C91" s="150"/>
      <c r="D91" s="255"/>
      <c r="E91" s="821"/>
      <c r="F91" s="829" t="str">
        <f>IF(OR(ISBLANK(D91),ISBLANK(E91)),"",('State eGrid factors'!$A$3/1000)*D91*(E91/60))</f>
        <v/>
      </c>
      <c r="G91" s="822" t="str">
        <f>IFERROR(F91*VLOOKUP(C91,'State eGrid factors'!E:M,9,FALSE)+(F91/(1-EF!$E$34)*EF!$E$29/1000)+(F91*EF!$E$33/1000),"")</f>
        <v/>
      </c>
    </row>
    <row r="92" spans="1:7" ht="15">
      <c r="A92" s="207">
        <v>12</v>
      </c>
      <c r="B92" s="157"/>
      <c r="C92" s="150"/>
      <c r="D92" s="255"/>
      <c r="E92" s="821"/>
      <c r="F92" s="829" t="str">
        <f>IF(OR(ISBLANK(D92),ISBLANK(E92)),"",('State eGrid factors'!$A$3/1000)*D92*(E92/60))</f>
        <v/>
      </c>
      <c r="G92" s="822" t="str">
        <f>IFERROR(F92*VLOOKUP(C92,'State eGrid factors'!E:M,9,FALSE)+(F92/(1-EF!$E$34)*EF!$E$29/1000)+(F92*EF!$E$33/1000),"")</f>
        <v/>
      </c>
    </row>
    <row r="93" spans="1:7" ht="15">
      <c r="A93" s="207">
        <v>13</v>
      </c>
      <c r="B93" s="157"/>
      <c r="C93" s="150"/>
      <c r="D93" s="255"/>
      <c r="E93" s="821"/>
      <c r="F93" s="829" t="str">
        <f>IF(OR(ISBLANK(D93),ISBLANK(E93)),"",('State eGrid factors'!$A$3/1000)*D93*(E93/60))</f>
        <v/>
      </c>
      <c r="G93" s="822" t="str">
        <f>IFERROR(F93*VLOOKUP(C93,'State eGrid factors'!E:M,9,FALSE)+(F93/(1-EF!$E$34)*EF!$E$29/1000)+(F93*EF!$E$33/1000),"")</f>
        <v/>
      </c>
    </row>
    <row r="94" spans="1:7" ht="15">
      <c r="A94" s="207">
        <v>14</v>
      </c>
      <c r="B94" s="157"/>
      <c r="C94" s="150"/>
      <c r="D94" s="255"/>
      <c r="E94" s="821"/>
      <c r="F94" s="829" t="str">
        <f>IF(OR(ISBLANK(D94),ISBLANK(E94)),"",('State eGrid factors'!$A$3/1000)*D94*(E94/60))</f>
        <v/>
      </c>
      <c r="G94" s="822" t="str">
        <f>IFERROR(F94*VLOOKUP(C94,'State eGrid factors'!E:M,9,FALSE)+(F94/(1-EF!$E$34)*EF!$E$29/1000)+(F94*EF!$E$33/1000),"")</f>
        <v/>
      </c>
    </row>
    <row r="95" spans="1:7" ht="15">
      <c r="A95" s="207">
        <v>15</v>
      </c>
      <c r="B95" s="157"/>
      <c r="C95" s="150"/>
      <c r="D95" s="255"/>
      <c r="E95" s="821"/>
      <c r="F95" s="829" t="str">
        <f>IF(OR(ISBLANK(D95),ISBLANK(E95)),"",('State eGrid factors'!$A$3/1000)*D95*(E95/60))</f>
        <v/>
      </c>
      <c r="G95" s="822" t="str">
        <f>IFERROR(F95*VLOOKUP(C95,'State eGrid factors'!E:M,9,FALSE)+(F95/(1-EF!$E$34)*EF!$E$29/1000)+(F95*EF!$E$33/1000),"")</f>
        <v/>
      </c>
    </row>
    <row r="96" spans="1:7" ht="15.75" thickBot="1">
      <c r="A96" s="207">
        <v>16</v>
      </c>
      <c r="B96" s="157"/>
      <c r="C96" s="150"/>
      <c r="D96" s="255"/>
      <c r="E96" s="821"/>
      <c r="F96" s="829" t="str">
        <f>IF(OR(ISBLANK(D96),ISBLANK(E96)),"",('State eGrid factors'!$A$3/1000)*D96*(E96/60))</f>
        <v/>
      </c>
      <c r="G96" s="822" t="str">
        <f>IFERROR(F96*VLOOKUP(C96,'State eGrid factors'!E:M,9,FALSE)+(F96/(1-EF!$E$34)*EF!$E$29/1000)+(F96*EF!$E$33/1000),"")</f>
        <v/>
      </c>
    </row>
    <row r="97" spans="4:8" ht="15" thickBot="1">
      <c r="D97" s="260"/>
      <c r="F97" s="218" t="s">
        <v>1268</v>
      </c>
      <c r="G97" s="179">
        <f>SUM(G82:G96)</f>
        <v>0</v>
      </c>
    </row>
    <row r="98" spans="4:8" ht="15" thickBot="1">
      <c r="F98" s="256" t="s">
        <v>1268</v>
      </c>
      <c r="G98" s="257"/>
      <c r="H98" s="236" t="s">
        <v>4097</v>
      </c>
    </row>
  </sheetData>
  <sheetProtection algorithmName="SHA-512" hashValue="E1+cL2pg1UVN9KTCeJyzVimlVmgvVJOtgSfQGnNlT5toE0abZHD5qE74/SFUOX1tODZKirwCy1zu8PjyHli2Cw==" saltValue="IWniq47bd4MDQfjcL7WAKA==" spinCount="100000" sheet="1" objects="1" scenarios="1"/>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240CA9A5-FAC1-41C0-BAC6-E157D4156573}">
          <x14:formula1>
            <xm:f>'Commute Calcs'!$K$7:$K$57</xm:f>
          </x14:formula1>
          <xm:sqref>C25:C44 C53:C72 C81:C96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183BC-5694-48F7-AAFB-75866A432D24}">
  <sheetPr codeName="Sheet3">
    <tabColor rgb="FF94E494"/>
  </sheetPr>
  <dimension ref="A1:K29"/>
  <sheetViews>
    <sheetView showGridLines="0" tabSelected="1" zoomScale="80" zoomScaleNormal="80" workbookViewId="0">
      <pane ySplit="2" topLeftCell="A3" activePane="bottomLeft" state="frozen"/>
      <selection activeCell="C8" sqref="C8"/>
      <selection pane="bottomLeft" activeCell="B3" sqref="B3:C3"/>
    </sheetView>
  </sheetViews>
  <sheetFormatPr defaultColWidth="10.5" defaultRowHeight="14.25"/>
  <cols>
    <col min="1" max="1" width="8.125" style="4" customWidth="1"/>
    <col min="2" max="2" width="64.375" style="4" customWidth="1"/>
    <col min="3" max="3" width="45.875" style="4" customWidth="1"/>
    <col min="4" max="4" width="5.125" style="4" customWidth="1"/>
    <col min="5" max="16384" width="10.5" style="4"/>
  </cols>
  <sheetData>
    <row r="1" spans="1:11" ht="90" customHeight="1">
      <c r="A1" s="361"/>
    </row>
    <row r="2" spans="1:11" s="364" customFormat="1" ht="29.25" customHeight="1">
      <c r="A2" s="362"/>
      <c r="B2" s="363" t="s">
        <v>1762</v>
      </c>
      <c r="C2" s="362"/>
      <c r="D2" s="362"/>
    </row>
    <row r="3" spans="1:11" ht="57" customHeight="1">
      <c r="A3" s="361"/>
      <c r="B3" s="1448" t="s">
        <v>3299</v>
      </c>
      <c r="C3" s="1449"/>
      <c r="D3" s="366"/>
    </row>
    <row r="4" spans="1:11" ht="50.25" customHeight="1">
      <c r="A4" s="361"/>
      <c r="B4" s="1448" t="s">
        <v>1737</v>
      </c>
      <c r="C4" s="1448"/>
    </row>
    <row r="5" spans="1:11" ht="18" customHeight="1">
      <c r="A5" s="367"/>
      <c r="B5" s="6" t="s">
        <v>3300</v>
      </c>
      <c r="C5" s="780"/>
      <c r="E5" s="368" t="s">
        <v>1764</v>
      </c>
      <c r="J5" s="341"/>
      <c r="K5" s="341"/>
    </row>
    <row r="6" spans="1:11" ht="24.95" customHeight="1">
      <c r="A6" s="367"/>
      <c r="B6" s="369" t="s">
        <v>1765</v>
      </c>
      <c r="C6" s="1391"/>
      <c r="D6"/>
      <c r="E6" s="1390" t="s">
        <v>1766</v>
      </c>
      <c r="J6" s="341"/>
      <c r="K6" s="341"/>
    </row>
    <row r="7" spans="1:11" ht="18" customHeight="1">
      <c r="A7" s="367"/>
      <c r="B7" s="6" t="s">
        <v>1767</v>
      </c>
      <c r="C7" s="14"/>
      <c r="E7" s="370" t="s">
        <v>1768</v>
      </c>
      <c r="J7" s="341"/>
      <c r="K7" s="341"/>
    </row>
    <row r="8" spans="1:11" ht="14.25" customHeight="1">
      <c r="A8" s="371" t="s">
        <v>1769</v>
      </c>
      <c r="B8" s="1450"/>
      <c r="C8" s="1450"/>
      <c r="E8" s="370" t="s">
        <v>4361</v>
      </c>
      <c r="F8" s="341"/>
      <c r="G8" s="341"/>
      <c r="H8" s="341"/>
      <c r="I8" s="341"/>
      <c r="J8" s="341"/>
      <c r="K8" s="341"/>
    </row>
    <row r="9" spans="1:11">
      <c r="A9" s="371" t="s">
        <v>1770</v>
      </c>
      <c r="B9" s="1450"/>
      <c r="C9" s="1450"/>
      <c r="E9" s="341"/>
      <c r="F9" s="341"/>
      <c r="G9" s="341"/>
      <c r="H9" s="341"/>
      <c r="I9" s="341"/>
      <c r="J9" s="341"/>
      <c r="K9" s="341"/>
    </row>
    <row r="10" spans="1:11">
      <c r="A10" s="371" t="s">
        <v>1771</v>
      </c>
      <c r="B10" s="1451"/>
      <c r="C10" s="1450"/>
      <c r="F10" s="341"/>
      <c r="G10" s="341"/>
      <c r="H10" s="341"/>
      <c r="I10" s="341"/>
      <c r="J10" s="341"/>
      <c r="K10" s="341"/>
    </row>
    <row r="11" spans="1:11" ht="24.95" customHeight="1">
      <c r="B11" s="1448" t="s">
        <v>1772</v>
      </c>
      <c r="C11" s="1448"/>
      <c r="F11" s="341"/>
      <c r="G11" s="341"/>
      <c r="H11" s="341"/>
      <c r="I11" s="341"/>
      <c r="J11" s="373"/>
      <c r="K11" s="373"/>
    </row>
    <row r="12" spans="1:11" customFormat="1" ht="14.25" customHeight="1">
      <c r="B12" s="1446" t="s">
        <v>1773</v>
      </c>
      <c r="C12" s="1446"/>
      <c r="E12" s="4"/>
      <c r="F12" s="341"/>
      <c r="G12" s="341"/>
      <c r="H12" s="341"/>
      <c r="I12" s="341"/>
    </row>
    <row r="13" spans="1:11" customFormat="1" ht="14.25" customHeight="1">
      <c r="B13" s="1446" t="s">
        <v>1774</v>
      </c>
      <c r="C13" s="1446"/>
      <c r="E13" s="4"/>
    </row>
    <row r="14" spans="1:11" customFormat="1" ht="27.6" customHeight="1">
      <c r="B14" s="1446" t="s">
        <v>1775</v>
      </c>
      <c r="C14" s="1446"/>
    </row>
    <row r="15" spans="1:11" ht="14.25" customHeight="1">
      <c r="B15" s="365"/>
      <c r="C15" s="365"/>
    </row>
    <row r="16" spans="1:11" ht="15">
      <c r="B16" s="1447" t="s">
        <v>1776</v>
      </c>
      <c r="C16" s="1447"/>
    </row>
    <row r="17" spans="2:3">
      <c r="B17" s="374" t="s">
        <v>1777</v>
      </c>
      <c r="C17" s="375"/>
    </row>
    <row r="18" spans="2:3">
      <c r="B18" s="374" t="s">
        <v>1778</v>
      </c>
      <c r="C18" s="376"/>
    </row>
    <row r="19" spans="2:3" ht="20.100000000000001" customHeight="1">
      <c r="B19" s="377" t="s">
        <v>1779</v>
      </c>
      <c r="C19" s="378" t="s">
        <v>1780</v>
      </c>
    </row>
    <row r="20" spans="2:3" ht="20.100000000000001" customHeight="1">
      <c r="B20" s="377" t="s">
        <v>1781</v>
      </c>
      <c r="C20" s="379" t="s">
        <v>1782</v>
      </c>
    </row>
    <row r="22" spans="2:3" ht="141.75">
      <c r="B22" s="380" t="s">
        <v>1783</v>
      </c>
    </row>
    <row r="24" spans="2:3" ht="31.5">
      <c r="B24" s="380" t="s">
        <v>1784</v>
      </c>
    </row>
    <row r="25" spans="2:3" ht="15.75">
      <c r="B25" s="381" t="s">
        <v>1785</v>
      </c>
    </row>
    <row r="26" spans="2:3" ht="15.75">
      <c r="B26" s="381" t="s">
        <v>1786</v>
      </c>
    </row>
    <row r="28" spans="2:3" ht="47.25">
      <c r="B28" s="380" t="s">
        <v>1787</v>
      </c>
    </row>
    <row r="29" spans="2:3" ht="15.75">
      <c r="B29" s="382" t="s">
        <v>1788</v>
      </c>
    </row>
  </sheetData>
  <sheetProtection algorithmName="SHA-512" hashValue="cPQV65LU1WM3DT3EB2ak9ZpZ7DMzXclRiC4xf0X7FH0XQSBK85tPd6aLdvuqLbi0Xc6XSAc26S79EGyJF26cGw==" saltValue="3VLbZjzVOnFxqoMy/gMgsw==" spinCount="100000" sheet="1" objects="1" scenarios="1"/>
  <mergeCells count="10">
    <mergeCell ref="B12:C12"/>
    <mergeCell ref="B13:C13"/>
    <mergeCell ref="B14:C14"/>
    <mergeCell ref="B16:C16"/>
    <mergeCell ref="B3:C3"/>
    <mergeCell ref="B4:C4"/>
    <mergeCell ref="B8:C8"/>
    <mergeCell ref="B9:C9"/>
    <mergeCell ref="B10:C10"/>
    <mergeCell ref="B11:C11"/>
  </mergeCells>
  <hyperlinks>
    <hyperlink ref="B25" r:id="rId1" xr:uid="{B7F6686C-C4E9-43C6-AD9B-4401B6EBBD0A}"/>
    <hyperlink ref="B26" r:id="rId2" xr:uid="{485BF78F-C5A3-42F4-897C-B15ABC54BC95}"/>
    <hyperlink ref="B29" r:id="rId3" xr:uid="{EA9E98A4-6CA3-4736-9AA6-ECA04701B571}"/>
    <hyperlink ref="E6" r:id="rId4" location="/" xr:uid="{0795053E-DB97-4C44-B8E7-D47248752A50}"/>
  </hyperlinks>
  <pageMargins left="0.25" right="0.25" top="0.75" bottom="0.75" header="0.3" footer="0.3"/>
  <pageSetup paperSize="9" orientation="landscape" horizontalDpi="1200" verticalDpi="1200" r:id="rId5"/>
  <drawing r:id="rId6"/>
  <extLst>
    <ext xmlns:x14="http://schemas.microsoft.com/office/spreadsheetml/2009/9/main" uri="{CCE6A557-97BC-4b89-ADB6-D9C93CAAB3DF}">
      <x14:dataValidations xmlns:xm="http://schemas.microsoft.com/office/excel/2006/main" count="2">
        <x14:dataValidation type="list" allowBlank="1" showInputMessage="1" showErrorMessage="1" xr:uid="{2D36D7FD-089D-418C-B99E-E6B67B170421}">
          <x14:formula1>
            <xm:f>'S1&amp;2 Lists'!$A$4:$A$14</xm:f>
          </x14:formula1>
          <xm:sqref>C6</xm:sqref>
        </x14:dataValidation>
        <x14:dataValidation type="list" allowBlank="1" showInputMessage="1" showErrorMessage="1" xr:uid="{C7FD7B47-F56C-48FD-805F-C7664A6E4B1F}">
          <x14:formula1>
            <xm:f>'S1&amp;2 Lists'!$AW$80:$AW$119</xm:f>
          </x14:formula1>
          <xm:sqref>C5</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68D51-88DC-46FB-9A45-CD3C98EC2A15}">
  <sheetPr codeName="Sheet33">
    <tabColor theme="3" tint="0.59999389629810485"/>
  </sheetPr>
  <dimension ref="A1:F68"/>
  <sheetViews>
    <sheetView showGridLines="0" zoomScale="85" zoomScaleNormal="85" workbookViewId="0"/>
  </sheetViews>
  <sheetFormatPr defaultColWidth="8.875" defaultRowHeight="14.25"/>
  <cols>
    <col min="1" max="1" width="7.5" style="30" customWidth="1"/>
    <col min="2" max="2" width="43.5" style="30" customWidth="1"/>
    <col min="3" max="3" width="42.375" style="30" customWidth="1"/>
    <col min="4" max="4" width="17.625" style="30" customWidth="1"/>
    <col min="5" max="5" width="18.375" style="30" customWidth="1"/>
    <col min="6" max="6" width="30.5" style="30" customWidth="1"/>
    <col min="7" max="16384" width="8.875" style="30"/>
  </cols>
  <sheetData>
    <row r="1" spans="1:6" ht="24.75" customHeight="1">
      <c r="A1" s="23" t="s">
        <v>1187</v>
      </c>
      <c r="B1" s="24"/>
      <c r="C1" s="24"/>
      <c r="D1" s="24"/>
      <c r="E1" s="24"/>
      <c r="F1" s="24"/>
    </row>
    <row r="2" spans="1:6">
      <c r="A2" s="261" t="s">
        <v>1387</v>
      </c>
      <c r="B2" s="32"/>
      <c r="C2" s="32"/>
      <c r="D2" s="32"/>
      <c r="E2" s="32"/>
      <c r="F2" s="32"/>
    </row>
    <row r="3" spans="1:6">
      <c r="A3" s="38" t="s">
        <v>1366</v>
      </c>
      <c r="B3" s="32"/>
      <c r="C3" s="32"/>
      <c r="D3" s="32"/>
      <c r="E3" s="32"/>
      <c r="F3" s="32"/>
    </row>
    <row r="4" spans="1:6" ht="18.75" customHeight="1">
      <c r="A4" s="38" t="s">
        <v>1626</v>
      </c>
      <c r="B4" s="32"/>
      <c r="C4" s="32"/>
      <c r="D4" s="32"/>
      <c r="E4" s="32"/>
      <c r="F4" s="32"/>
    </row>
    <row r="5" spans="1:6">
      <c r="A5" s="262" t="s">
        <v>1627</v>
      </c>
      <c r="B5" s="32"/>
      <c r="C5" s="32"/>
      <c r="D5" s="32"/>
      <c r="E5" s="32"/>
      <c r="F5" s="32"/>
    </row>
    <row r="6" spans="1:6">
      <c r="A6" s="287" t="s">
        <v>1628</v>
      </c>
      <c r="B6" s="32"/>
      <c r="C6" s="32"/>
      <c r="D6" s="32"/>
      <c r="E6" s="32"/>
      <c r="F6" s="32"/>
    </row>
    <row r="7" spans="1:6">
      <c r="A7" s="262" t="s">
        <v>1629</v>
      </c>
      <c r="B7" s="32"/>
      <c r="C7" s="32"/>
      <c r="D7" s="32"/>
      <c r="E7" s="32"/>
      <c r="F7" s="32"/>
    </row>
    <row r="8" spans="1:6">
      <c r="A8" s="287" t="s">
        <v>1630</v>
      </c>
      <c r="B8" s="32"/>
      <c r="C8" s="32"/>
      <c r="D8" s="32"/>
      <c r="E8" s="32"/>
      <c r="F8" s="32"/>
    </row>
    <row r="17" spans="1:6" ht="18.75">
      <c r="A17" s="266" t="s">
        <v>1631</v>
      </c>
    </row>
    <row r="18" spans="1:6">
      <c r="A18" s="267" t="s">
        <v>1237</v>
      </c>
    </row>
    <row r="19" spans="1:6" ht="9" customHeight="1">
      <c r="A19" s="267"/>
    </row>
    <row r="20" spans="1:6">
      <c r="B20" s="53" t="s">
        <v>312</v>
      </c>
      <c r="C20" s="53" t="s">
        <v>312</v>
      </c>
      <c r="D20" s="53" t="s">
        <v>312</v>
      </c>
      <c r="E20" s="53" t="s">
        <v>312</v>
      </c>
    </row>
    <row r="21" spans="1:6" ht="45">
      <c r="A21" s="270" t="s">
        <v>1238</v>
      </c>
      <c r="B21" s="271" t="s">
        <v>1632</v>
      </c>
      <c r="C21" s="271" t="s">
        <v>1633</v>
      </c>
      <c r="D21" s="288" t="s">
        <v>1634</v>
      </c>
      <c r="E21" s="288" t="s">
        <v>1635</v>
      </c>
      <c r="F21" s="270" t="s">
        <v>322</v>
      </c>
    </row>
    <row r="22" spans="1:6" ht="15">
      <c r="A22" s="272">
        <v>1</v>
      </c>
      <c r="B22" s="147" t="s">
        <v>1636</v>
      </c>
      <c r="C22" s="147"/>
      <c r="D22" s="254">
        <v>500</v>
      </c>
      <c r="E22" s="254">
        <v>18</v>
      </c>
      <c r="F22" s="210">
        <f>IF(OR(ISBLANK(D22),ISBLANK(E22)),"",(D22*E22*GWPs!$C$6/1000000)+N("number of units x mass of GHG in each unit (grams) x GWP of HFC-227ea / 1,000,000 grams per MT"))</f>
        <v>32.4</v>
      </c>
    </row>
    <row r="23" spans="1:6" ht="15">
      <c r="A23" s="272">
        <v>2</v>
      </c>
      <c r="B23" s="150"/>
      <c r="C23" s="150"/>
      <c r="D23" s="166"/>
      <c r="E23" s="166"/>
      <c r="F23" s="213" t="str">
        <f>IF(OR(ISBLANK(D23),ISBLANK(E23)),"",(D23*E23*GWPs!$C$6/1000000)+N("number of units x mass of GHG in each unit (grams) x GWP of HFC-227ea / 1,000,000 grams per MT"))</f>
        <v/>
      </c>
    </row>
    <row r="24" spans="1:6" ht="15">
      <c r="A24" s="272">
        <v>3</v>
      </c>
      <c r="B24" s="150"/>
      <c r="C24" s="150"/>
      <c r="D24" s="166"/>
      <c r="E24" s="166"/>
      <c r="F24" s="213" t="str">
        <f>IF(OR(ISBLANK(D24),ISBLANK(E24)),"",(D24*E24*GWPs!$C$6/1000000)+N("number of units x mass of GHG in each unit (grams) x GWP of HFC-227ea / 1,000,000 grams per MT"))</f>
        <v/>
      </c>
    </row>
    <row r="25" spans="1:6" ht="15">
      <c r="A25" s="272">
        <v>4</v>
      </c>
      <c r="B25" s="150"/>
      <c r="C25" s="150"/>
      <c r="D25" s="166"/>
      <c r="E25" s="166"/>
      <c r="F25" s="213" t="str">
        <f>IF(OR(ISBLANK(D25),ISBLANK(E25)),"",(D25*E25*GWPs!$C$6/1000000)+N("number of units x mass of GHG in each unit (grams) x GWP of HFC-227ea / 1,000,000 grams per MT"))</f>
        <v/>
      </c>
    </row>
    <row r="26" spans="1:6" ht="15">
      <c r="A26" s="272">
        <v>5</v>
      </c>
      <c r="B26" s="150"/>
      <c r="C26" s="150"/>
      <c r="D26" s="166"/>
      <c r="E26" s="166"/>
      <c r="F26" s="213" t="str">
        <f>IF(OR(ISBLANK(D26),ISBLANK(E26)),"",(D26*E26*GWPs!$C$6/1000000)+N("number of units x mass of GHG in each unit (grams) x GWP of HFC-227ea / 1,000,000 grams per MT"))</f>
        <v/>
      </c>
    </row>
    <row r="27" spans="1:6" ht="15">
      <c r="A27" s="272">
        <v>6</v>
      </c>
      <c r="B27" s="150"/>
      <c r="C27" s="150"/>
      <c r="D27" s="166"/>
      <c r="E27" s="166"/>
      <c r="F27" s="213" t="str">
        <f>IF(OR(ISBLANK(D27),ISBLANK(E27)),"",(D27*E27*GWPs!$C$6/1000000)+N("number of units x mass of GHG in each unit (grams) x GWP of HFC-227ea / 1,000,000 grams per MT"))</f>
        <v/>
      </c>
    </row>
    <row r="28" spans="1:6" ht="15">
      <c r="A28" s="272">
        <v>7</v>
      </c>
      <c r="B28" s="150"/>
      <c r="C28" s="150"/>
      <c r="D28" s="166"/>
      <c r="E28" s="166"/>
      <c r="F28" s="213" t="str">
        <f>IF(OR(ISBLANK(D28),ISBLANK(E28)),"",(D28*E28*GWPs!$C$6/1000000)+N("number of units x mass of GHG in each unit (grams) x GWP of HFC-227ea / 1,000,000 grams per MT"))</f>
        <v/>
      </c>
    </row>
    <row r="29" spans="1:6" ht="15">
      <c r="A29" s="272">
        <v>8</v>
      </c>
      <c r="B29" s="150"/>
      <c r="C29" s="150"/>
      <c r="D29" s="166"/>
      <c r="E29" s="166"/>
      <c r="F29" s="213" t="str">
        <f>IF(OR(ISBLANK(D29),ISBLANK(E29)),"",(D29*E29*GWPs!$C$6/1000000)+N("number of units x mass of GHG in each unit (grams) x GWP of HFC-227ea / 1,000,000 grams per MT"))</f>
        <v/>
      </c>
    </row>
    <row r="30" spans="1:6" ht="15">
      <c r="A30" s="272">
        <v>9</v>
      </c>
      <c r="B30" s="150"/>
      <c r="C30" s="150"/>
      <c r="D30" s="166"/>
      <c r="E30" s="166"/>
      <c r="F30" s="213" t="str">
        <f>IF(OR(ISBLANK(D30),ISBLANK(E30)),"",(D30*E30*GWPs!$C$6/1000000)+N("number of units x mass of GHG in each unit (grams) x GWP of HFC-227ea / 1,000,000 grams per MT"))</f>
        <v/>
      </c>
    </row>
    <row r="31" spans="1:6" ht="15">
      <c r="A31" s="272">
        <v>10</v>
      </c>
      <c r="B31" s="150"/>
      <c r="C31" s="150"/>
      <c r="D31" s="166"/>
      <c r="E31" s="166"/>
      <c r="F31" s="213" t="str">
        <f>IF(OR(ISBLANK(D31),ISBLANK(E31)),"",(D31*E31*GWPs!$C$6/1000000)+N("number of units x mass of GHG in each unit (grams) x GWP of HFC-227ea / 1,000,000 grams per MT"))</f>
        <v/>
      </c>
    </row>
    <row r="32" spans="1:6" ht="15">
      <c r="A32" s="272">
        <v>11</v>
      </c>
      <c r="B32" s="150"/>
      <c r="C32" s="150"/>
      <c r="D32" s="166"/>
      <c r="E32" s="166"/>
      <c r="F32" s="213" t="str">
        <f>IF(OR(ISBLANK(D32),ISBLANK(E32)),"",(D32*E32*GWPs!$C$6/1000000)+N("number of units x mass of GHG in each unit (grams) x GWP of HFC-227ea / 1,000,000 grams per MT"))</f>
        <v/>
      </c>
    </row>
    <row r="33" spans="1:6" ht="15">
      <c r="A33" s="272">
        <v>12</v>
      </c>
      <c r="B33" s="150"/>
      <c r="C33" s="150"/>
      <c r="D33" s="166"/>
      <c r="E33" s="166"/>
      <c r="F33" s="213" t="str">
        <f>IF(OR(ISBLANK(D33),ISBLANK(E33)),"",(D33*E33*GWPs!$C$6/1000000)+N("number of units x mass of GHG in each unit (grams) x GWP of HFC-227ea / 1,000,000 grams per MT"))</f>
        <v/>
      </c>
    </row>
    <row r="34" spans="1:6" ht="15">
      <c r="A34" s="272">
        <v>13</v>
      </c>
      <c r="B34" s="150"/>
      <c r="C34" s="150"/>
      <c r="D34" s="166"/>
      <c r="E34" s="166"/>
      <c r="F34" s="213" t="str">
        <f>IF(OR(ISBLANK(D34),ISBLANK(E34)),"",(D34*E34*GWPs!$C$6/1000000)+N("number of units x mass of GHG in each unit (grams) x GWP of HFC-227ea / 1,000,000 grams per MT"))</f>
        <v/>
      </c>
    </row>
    <row r="35" spans="1:6" ht="15">
      <c r="A35" s="272">
        <v>14</v>
      </c>
      <c r="B35" s="150"/>
      <c r="C35" s="150"/>
      <c r="D35" s="166"/>
      <c r="E35" s="166"/>
      <c r="F35" s="213" t="str">
        <f>IF(OR(ISBLANK(D35),ISBLANK(E35)),"",(D35*E35*GWPs!$C$6/1000000)+N("number of units x mass of GHG in each unit (grams) x GWP of HFC-227ea / 1,000,000 grams per MT"))</f>
        <v/>
      </c>
    </row>
    <row r="36" spans="1:6" ht="15">
      <c r="A36" s="272">
        <v>15</v>
      </c>
      <c r="B36" s="150"/>
      <c r="C36" s="150"/>
      <c r="D36" s="166"/>
      <c r="E36" s="166"/>
      <c r="F36" s="213" t="str">
        <f>IF(OR(ISBLANK(D36),ISBLANK(E36)),"",(D36*E36*GWPs!$C$6/1000000)+N("number of units x mass of GHG in each unit (grams) x GWP of HFC-227ea / 1,000,000 grams per MT"))</f>
        <v/>
      </c>
    </row>
    <row r="37" spans="1:6" ht="15">
      <c r="A37" s="272">
        <v>16</v>
      </c>
      <c r="B37" s="150"/>
      <c r="C37" s="150"/>
      <c r="D37" s="166"/>
      <c r="E37" s="166"/>
      <c r="F37" s="213" t="str">
        <f>IF(OR(ISBLANK(D37),ISBLANK(E37)),"",(D37*E37*GWPs!$C$6/1000000)+N("number of units x mass of GHG in each unit (grams) x GWP of HFC-227ea / 1,000,000 grams per MT"))</f>
        <v/>
      </c>
    </row>
    <row r="38" spans="1:6" ht="15">
      <c r="A38" s="272">
        <v>17</v>
      </c>
      <c r="B38" s="150"/>
      <c r="C38" s="150"/>
      <c r="D38" s="166"/>
      <c r="E38" s="166"/>
      <c r="F38" s="213" t="str">
        <f>IF(OR(ISBLANK(D38),ISBLANK(E38)),"",(D38*E38*GWPs!$C$6/1000000)+N("number of units x mass of GHG in each unit (grams) x GWP of HFC-227ea / 1,000,000 grams per MT"))</f>
        <v/>
      </c>
    </row>
    <row r="39" spans="1:6" ht="15">
      <c r="A39" s="272">
        <v>18</v>
      </c>
      <c r="B39" s="150"/>
      <c r="C39" s="150"/>
      <c r="D39" s="166"/>
      <c r="E39" s="166"/>
      <c r="F39" s="213" t="str">
        <f>IF(OR(ISBLANK(D39),ISBLANK(E39)),"",(D39*E39*GWPs!$C$6/1000000)+N("number of units x mass of GHG in each unit (grams) x GWP of HFC-227ea / 1,000,000 grams per MT"))</f>
        <v/>
      </c>
    </row>
    <row r="40" spans="1:6" ht="15">
      <c r="A40" s="272">
        <v>19</v>
      </c>
      <c r="B40" s="150"/>
      <c r="C40" s="150"/>
      <c r="D40" s="166"/>
      <c r="E40" s="166"/>
      <c r="F40" s="213" t="str">
        <f>IF(OR(ISBLANK(D40),ISBLANK(E40)),"",(D40*E40*GWPs!$C$6/1000000)+N("number of units x mass of GHG in each unit (grams) x GWP of HFC-227ea / 1,000,000 grams per MT"))</f>
        <v/>
      </c>
    </row>
    <row r="41" spans="1:6" ht="15.75" thickBot="1">
      <c r="A41" s="272">
        <v>20</v>
      </c>
      <c r="B41" s="150"/>
      <c r="C41" s="150"/>
      <c r="D41" s="166"/>
      <c r="E41" s="823"/>
      <c r="F41" s="213" t="str">
        <f>IF(OR(ISBLANK(D41),ISBLANK(E41)),"",(D41*E41*GWPs!$C$6/1000000)+N("number of units x mass of GHG in each unit (grams) x GWP of HFC-227ea / 1,000,000 grams per MT"))</f>
        <v/>
      </c>
    </row>
    <row r="42" spans="1:6" ht="15" thickBot="1">
      <c r="E42" s="279" t="s">
        <v>1268</v>
      </c>
      <c r="F42" s="289">
        <f>SUM(F23:F41)</f>
        <v>0</v>
      </c>
    </row>
    <row r="43" spans="1:6" ht="18.75">
      <c r="A43" s="266" t="s">
        <v>1637</v>
      </c>
    </row>
    <row r="44" spans="1:6">
      <c r="A44" s="267" t="s">
        <v>1237</v>
      </c>
    </row>
    <row r="45" spans="1:6" ht="9" customHeight="1">
      <c r="A45" s="267"/>
    </row>
    <row r="46" spans="1:6">
      <c r="B46" s="53" t="s">
        <v>312</v>
      </c>
      <c r="C46" s="53" t="s">
        <v>312</v>
      </c>
      <c r="D46" s="53" t="s">
        <v>312</v>
      </c>
      <c r="E46" s="53" t="s">
        <v>312</v>
      </c>
    </row>
    <row r="47" spans="1:6" ht="45">
      <c r="A47" s="270" t="s">
        <v>1238</v>
      </c>
      <c r="B47" s="271" t="s">
        <v>1632</v>
      </c>
      <c r="C47" s="271" t="s">
        <v>1633</v>
      </c>
      <c r="D47" s="288" t="s">
        <v>1634</v>
      </c>
      <c r="E47" s="288" t="s">
        <v>1635</v>
      </c>
      <c r="F47" s="270" t="s">
        <v>322</v>
      </c>
    </row>
    <row r="48" spans="1:6" ht="15">
      <c r="A48" s="272">
        <v>1</v>
      </c>
      <c r="B48" s="147" t="s">
        <v>1638</v>
      </c>
      <c r="C48" s="147"/>
      <c r="D48" s="254">
        <v>1000</v>
      </c>
      <c r="E48" s="254">
        <v>12</v>
      </c>
      <c r="F48" s="210">
        <f>IF(OR(ISBLANK(D48),ISBLANK(E48)),"",(D48*E48*GWPs!$C$7/1000000)+N("number of units x mass of GHG in each unit (grams) x GWP of HFC-134a / 1,000,000 grams per MT"))</f>
        <v>18.36</v>
      </c>
    </row>
    <row r="49" spans="1:6" ht="15">
      <c r="A49" s="272">
        <v>2</v>
      </c>
      <c r="B49" s="150"/>
      <c r="C49" s="150"/>
      <c r="D49" s="166"/>
      <c r="E49" s="166"/>
      <c r="F49" s="213" t="str">
        <f>IF(OR(ISBLANK(D49),ISBLANK(E49)),"",(D49*E49*GWPs!$C$7/1000000)+N("number of units x mass of GHG in each unit (grams) x GWP of HFC-134a / 1,000,000 grams per MT"))</f>
        <v/>
      </c>
    </row>
    <row r="50" spans="1:6" ht="15">
      <c r="A50" s="272">
        <v>3</v>
      </c>
      <c r="B50" s="150"/>
      <c r="C50" s="150"/>
      <c r="D50" s="166"/>
      <c r="E50" s="166"/>
      <c r="F50" s="213" t="str">
        <f>IF(OR(ISBLANK(D50),ISBLANK(E50)),"",(D50*E50*GWPs!$C$7/1000000)+N("number of units x mass of GHG in each unit (grams) x GWP of HFC-134a / 1,000,000 grams per MT"))</f>
        <v/>
      </c>
    </row>
    <row r="51" spans="1:6" ht="15">
      <c r="A51" s="272">
        <v>4</v>
      </c>
      <c r="B51" s="150"/>
      <c r="C51" s="150"/>
      <c r="D51" s="166"/>
      <c r="E51" s="166"/>
      <c r="F51" s="213" t="str">
        <f>IF(OR(ISBLANK(D51),ISBLANK(E51)),"",(D51*E51*GWPs!$C$7/1000000)+N("number of units x mass of GHG in each unit (grams) x GWP of HFC-134a / 1,000,000 grams per MT"))</f>
        <v/>
      </c>
    </row>
    <row r="52" spans="1:6" ht="15">
      <c r="A52" s="272">
        <v>5</v>
      </c>
      <c r="B52" s="150"/>
      <c r="C52" s="150"/>
      <c r="D52" s="166"/>
      <c r="E52" s="166"/>
      <c r="F52" s="213" t="str">
        <f>IF(OR(ISBLANK(D52),ISBLANK(E52)),"",(D52*E52*GWPs!$C$7/1000000)+N("number of units x mass of GHG in each unit (grams) x GWP of HFC-134a / 1,000,000 grams per MT"))</f>
        <v/>
      </c>
    </row>
    <row r="53" spans="1:6" ht="15">
      <c r="A53" s="272">
        <v>6</v>
      </c>
      <c r="B53" s="150"/>
      <c r="C53" s="150"/>
      <c r="D53" s="166"/>
      <c r="E53" s="166"/>
      <c r="F53" s="213" t="str">
        <f>IF(OR(ISBLANK(D53),ISBLANK(E53)),"",(D53*E53*GWPs!$C$7/1000000)+N("number of units x mass of GHG in each unit (grams) x GWP of HFC-134a / 1,000,000 grams per MT"))</f>
        <v/>
      </c>
    </row>
    <row r="54" spans="1:6" ht="15">
      <c r="A54" s="272">
        <v>7</v>
      </c>
      <c r="B54" s="150"/>
      <c r="C54" s="150"/>
      <c r="D54" s="166"/>
      <c r="E54" s="166"/>
      <c r="F54" s="213" t="str">
        <f>IF(OR(ISBLANK(D54),ISBLANK(E54)),"",(D54*E54*GWPs!$C$7/1000000)+N("number of units x mass of GHG in each unit (grams) x GWP of HFC-134a / 1,000,000 grams per MT"))</f>
        <v/>
      </c>
    </row>
    <row r="55" spans="1:6" ht="15">
      <c r="A55" s="272">
        <v>8</v>
      </c>
      <c r="B55" s="150"/>
      <c r="C55" s="150"/>
      <c r="D55" s="166"/>
      <c r="E55" s="166"/>
      <c r="F55" s="213" t="str">
        <f>IF(OR(ISBLANK(D55),ISBLANK(E55)),"",(D55*E55*GWPs!$C$7/1000000)+N("number of units x mass of GHG in each unit (grams) x GWP of HFC-134a / 1,000,000 grams per MT"))</f>
        <v/>
      </c>
    </row>
    <row r="56" spans="1:6" ht="15">
      <c r="A56" s="272">
        <v>9</v>
      </c>
      <c r="B56" s="150"/>
      <c r="C56" s="150"/>
      <c r="D56" s="166"/>
      <c r="E56" s="166"/>
      <c r="F56" s="213" t="str">
        <f>IF(OR(ISBLANK(D56),ISBLANK(E56)),"",(D56*E56*GWPs!$C$7/1000000)+N("number of units x mass of GHG in each unit (grams) x GWP of HFC-134a / 1,000,000 grams per MT"))</f>
        <v/>
      </c>
    </row>
    <row r="57" spans="1:6" ht="15">
      <c r="A57" s="272">
        <v>10</v>
      </c>
      <c r="B57" s="150"/>
      <c r="C57" s="150"/>
      <c r="D57" s="166"/>
      <c r="E57" s="166"/>
      <c r="F57" s="213" t="str">
        <f>IF(OR(ISBLANK(D57),ISBLANK(E57)),"",(D57*E57*GWPs!$C$7/1000000)+N("number of units x mass of GHG in each unit (grams) x GWP of HFC-134a / 1,000,000 grams per MT"))</f>
        <v/>
      </c>
    </row>
    <row r="58" spans="1:6" ht="15">
      <c r="A58" s="272">
        <v>11</v>
      </c>
      <c r="B58" s="150"/>
      <c r="C58" s="150"/>
      <c r="D58" s="166"/>
      <c r="E58" s="166"/>
      <c r="F58" s="213" t="str">
        <f>IF(OR(ISBLANK(D58),ISBLANK(E58)),"",(D58*E58*GWPs!$C$7/1000000)+N("number of units x mass of GHG in each unit (grams) x GWP of HFC-134a / 1,000,000 grams per MT"))</f>
        <v/>
      </c>
    </row>
    <row r="59" spans="1:6" ht="15">
      <c r="A59" s="272">
        <v>12</v>
      </c>
      <c r="B59" s="150"/>
      <c r="C59" s="150"/>
      <c r="D59" s="166"/>
      <c r="E59" s="166"/>
      <c r="F59" s="213" t="str">
        <f>IF(OR(ISBLANK(D59),ISBLANK(E59)),"",(D59*E59*GWPs!$C$7/1000000)+N("number of units x mass of GHG in each unit (grams) x GWP of HFC-134a / 1,000,000 grams per MT"))</f>
        <v/>
      </c>
    </row>
    <row r="60" spans="1:6" ht="15">
      <c r="A60" s="272">
        <v>13</v>
      </c>
      <c r="B60" s="150"/>
      <c r="C60" s="150"/>
      <c r="D60" s="166"/>
      <c r="E60" s="166"/>
      <c r="F60" s="213" t="str">
        <f>IF(OR(ISBLANK(D60),ISBLANK(E60)),"",(D60*E60*GWPs!$C$7/1000000)+N("number of units x mass of GHG in each unit (grams) x GWP of HFC-134a / 1,000,000 grams per MT"))</f>
        <v/>
      </c>
    </row>
    <row r="61" spans="1:6" ht="15">
      <c r="A61" s="272">
        <v>14</v>
      </c>
      <c r="B61" s="150"/>
      <c r="C61" s="150"/>
      <c r="D61" s="166"/>
      <c r="E61" s="166"/>
      <c r="F61" s="213" t="str">
        <f>IF(OR(ISBLANK(D61),ISBLANK(E61)),"",(D61*E61*GWPs!$C$7/1000000)+N("number of units x mass of GHG in each unit (grams) x GWP of HFC-134a / 1,000,000 grams per MT"))</f>
        <v/>
      </c>
    </row>
    <row r="62" spans="1:6" ht="15">
      <c r="A62" s="272">
        <v>15</v>
      </c>
      <c r="B62" s="150"/>
      <c r="C62" s="150"/>
      <c r="D62" s="166"/>
      <c r="E62" s="166"/>
      <c r="F62" s="213" t="str">
        <f>IF(OR(ISBLANK(D62),ISBLANK(E62)),"",(D62*E62*GWPs!$C$7/1000000)+N("number of units x mass of GHG in each unit (grams) x GWP of HFC-134a / 1,000,000 grams per MT"))</f>
        <v/>
      </c>
    </row>
    <row r="63" spans="1:6" ht="15">
      <c r="A63" s="272">
        <v>16</v>
      </c>
      <c r="B63" s="150"/>
      <c r="C63" s="150"/>
      <c r="D63" s="166"/>
      <c r="E63" s="166"/>
      <c r="F63" s="213" t="str">
        <f>IF(OR(ISBLANK(D63),ISBLANK(E63)),"",(D63*E63*GWPs!$C$7/1000000)+N("number of units x mass of GHG in each unit (grams) x GWP of HFC-134a / 1,000,000 grams per MT"))</f>
        <v/>
      </c>
    </row>
    <row r="64" spans="1:6" ht="15">
      <c r="A64" s="272">
        <v>17</v>
      </c>
      <c r="B64" s="150"/>
      <c r="C64" s="150"/>
      <c r="D64" s="166"/>
      <c r="E64" s="166"/>
      <c r="F64" s="213" t="str">
        <f>IF(OR(ISBLANK(D64),ISBLANK(E64)),"",(D64*E64*GWPs!$C$7/1000000)+N("number of units x mass of GHG in each unit (grams) x GWP of HFC-134a / 1,000,000 grams per MT"))</f>
        <v/>
      </c>
    </row>
    <row r="65" spans="1:6" ht="15">
      <c r="A65" s="272">
        <v>18</v>
      </c>
      <c r="B65" s="150"/>
      <c r="C65" s="150"/>
      <c r="D65" s="166"/>
      <c r="E65" s="166"/>
      <c r="F65" s="213" t="str">
        <f>IF(OR(ISBLANK(D65),ISBLANK(E65)),"",(D65*E65*GWPs!$C$7/1000000)+N("number of units x mass of GHG in each unit (grams) x GWP of HFC-134a / 1,000,000 grams per MT"))</f>
        <v/>
      </c>
    </row>
    <row r="66" spans="1:6" ht="15">
      <c r="A66" s="272">
        <v>19</v>
      </c>
      <c r="B66" s="150"/>
      <c r="C66" s="150"/>
      <c r="D66" s="166"/>
      <c r="E66" s="166"/>
      <c r="F66" s="213" t="str">
        <f>IF(OR(ISBLANK(D66),ISBLANK(E66)),"",(D66*E66*GWPs!$C$7/1000000)+N("number of units x mass of GHG in each unit (grams) x GWP of HFC-134a / 1,000,000 grams per MT"))</f>
        <v/>
      </c>
    </row>
    <row r="67" spans="1:6" ht="15.75" thickBot="1">
      <c r="A67" s="272">
        <v>20</v>
      </c>
      <c r="B67" s="150"/>
      <c r="C67" s="150"/>
      <c r="D67" s="166"/>
      <c r="E67" s="166"/>
      <c r="F67" s="213" t="str">
        <f>IF(OR(ISBLANK(D67),ISBLANK(E67)),"",(D67*E67*GWPs!$C$7/1000000)+N("number of units x mass of GHG in each unit (grams) x GWP of HFC-134a / 1,000,000 grams per MT"))</f>
        <v/>
      </c>
    </row>
    <row r="68" spans="1:6" ht="15" thickBot="1">
      <c r="E68" s="279" t="s">
        <v>1268</v>
      </c>
      <c r="F68" s="289">
        <f>SUM(F49:F67)</f>
        <v>0</v>
      </c>
    </row>
  </sheetData>
  <sheetProtection algorithmName="SHA-512" hashValue="t0xzdy3x6WdJwPtUyaSK1UfjuwrsI0VLSkK/WT7XQgEyeDT6fz/f3BGOg2Nuolfp53j5Z9QOcS4/h6MNhuht/w==" saltValue="Mb5eJa0aNdi5dG986rzXLw==" spinCount="100000" sheet="1" objects="1" scenarios="1"/>
  <pageMargins left="0.7" right="0.7" top="0.75" bottom="0.75" header="0.3" footer="0.3"/>
  <pageSetup orientation="portrait" horizontalDpi="1200" verticalDpi="120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A8992-E7E4-42F7-825C-6197200E8BF1}">
  <sheetPr codeName="Sheet38">
    <tabColor theme="3" tint="0.59999389629810485"/>
  </sheetPr>
  <dimension ref="A1:AF70"/>
  <sheetViews>
    <sheetView showGridLines="0" zoomScale="85" zoomScaleNormal="85" workbookViewId="0">
      <pane ySplit="19" topLeftCell="A20" activePane="bottomLeft" state="frozen"/>
      <selection pane="bottomLeft"/>
    </sheetView>
  </sheetViews>
  <sheetFormatPr defaultColWidth="8.875" defaultRowHeight="14.25"/>
  <cols>
    <col min="1" max="1" width="8.875" style="30"/>
    <col min="2" max="2" width="26.375" style="30" customWidth="1"/>
    <col min="3" max="3" width="65.375" style="30" customWidth="1"/>
    <col min="4" max="4" width="23.375" style="30" customWidth="1"/>
    <col min="5" max="5" width="21" style="30" customWidth="1"/>
    <col min="6" max="6" width="21.125" style="30" customWidth="1"/>
    <col min="7" max="7" width="19.375" style="30" customWidth="1"/>
    <col min="8" max="8" width="17.875" style="30" customWidth="1"/>
    <col min="9" max="9" width="16.5" style="30" customWidth="1"/>
    <col min="10" max="10" width="26.75" style="30" customWidth="1"/>
    <col min="11" max="11" width="37.125" style="30" customWidth="1"/>
    <col min="12" max="12" width="8.875" style="30"/>
    <col min="13" max="13" width="28.125" style="30" customWidth="1"/>
    <col min="14" max="14" width="21" style="30" customWidth="1"/>
    <col min="15" max="15" width="75.625" style="30" customWidth="1"/>
    <col min="16" max="16384" width="8.875" style="30"/>
  </cols>
  <sheetData>
    <row r="1" spans="1:32" ht="27.6" customHeight="1">
      <c r="A1" s="23" t="s">
        <v>1198</v>
      </c>
      <c r="B1" s="24"/>
      <c r="C1" s="24"/>
      <c r="D1" s="24"/>
      <c r="E1" s="24"/>
      <c r="F1" s="24"/>
      <c r="G1" s="24"/>
      <c r="H1" s="24"/>
      <c r="I1" s="24"/>
      <c r="J1" s="24"/>
    </row>
    <row r="2" spans="1:32">
      <c r="A2" s="261" t="s">
        <v>1387</v>
      </c>
      <c r="B2" s="32"/>
      <c r="C2" s="32"/>
      <c r="D2" s="32"/>
      <c r="E2" s="32"/>
      <c r="F2" s="32"/>
      <c r="G2" s="32"/>
      <c r="H2" s="32"/>
      <c r="I2" s="32"/>
      <c r="J2" s="32"/>
    </row>
    <row r="3" spans="1:32" ht="16.350000000000001" customHeight="1">
      <c r="A3" s="38" t="s">
        <v>1339</v>
      </c>
      <c r="B3" s="32"/>
      <c r="C3" s="32"/>
      <c r="D3" s="32"/>
      <c r="E3" s="32"/>
      <c r="F3" s="32"/>
      <c r="G3" s="32"/>
      <c r="H3" s="32"/>
      <c r="I3" s="32"/>
      <c r="J3" s="32"/>
    </row>
    <row r="4" spans="1:32">
      <c r="A4" s="38" t="s">
        <v>3918</v>
      </c>
      <c r="B4" s="32"/>
      <c r="C4" s="32"/>
      <c r="D4" s="32"/>
      <c r="E4" s="32"/>
      <c r="F4" s="32"/>
      <c r="G4" s="32"/>
      <c r="H4" s="32"/>
      <c r="I4" s="32"/>
      <c r="J4" s="32"/>
    </row>
    <row r="5" spans="1:32">
      <c r="A5" s="291" t="s">
        <v>1654</v>
      </c>
      <c r="B5" s="32"/>
      <c r="C5" s="32"/>
      <c r="D5" s="32"/>
      <c r="E5" s="32"/>
      <c r="F5" s="32"/>
      <c r="G5" s="32"/>
      <c r="H5" s="32"/>
      <c r="I5" s="32"/>
      <c r="J5" s="32"/>
    </row>
    <row r="6" spans="1:32">
      <c r="A6" s="38" t="s">
        <v>1655</v>
      </c>
      <c r="B6" s="32"/>
      <c r="C6" s="32"/>
      <c r="D6" s="32"/>
      <c r="E6" s="32"/>
      <c r="F6" s="32"/>
      <c r="G6" s="32"/>
      <c r="H6" s="32"/>
      <c r="I6" s="32"/>
      <c r="J6" s="32"/>
    </row>
    <row r="7" spans="1:32">
      <c r="A7" s="292" t="s">
        <v>4271</v>
      </c>
      <c r="B7" s="32"/>
      <c r="C7" s="32"/>
      <c r="D7" s="32"/>
      <c r="E7" s="32"/>
      <c r="F7" s="32"/>
      <c r="G7" s="32"/>
      <c r="H7" s="32"/>
      <c r="I7" s="32"/>
      <c r="J7" s="32"/>
    </row>
    <row r="8" spans="1:32">
      <c r="A8" s="292" t="s">
        <v>1656</v>
      </c>
      <c r="B8" s="32"/>
      <c r="C8" s="32"/>
      <c r="D8" s="32"/>
      <c r="E8" s="32"/>
      <c r="F8" s="32"/>
      <c r="G8" s="32"/>
      <c r="H8" s="32"/>
      <c r="I8" s="32"/>
      <c r="J8" s="32"/>
    </row>
    <row r="9" spans="1:32">
      <c r="A9" s="291" t="s">
        <v>1657</v>
      </c>
      <c r="B9" s="32"/>
      <c r="C9" s="32"/>
      <c r="D9" s="32"/>
      <c r="E9" s="32"/>
      <c r="F9" s="32"/>
      <c r="G9" s="32"/>
      <c r="H9" s="32"/>
      <c r="I9" s="32"/>
      <c r="J9" s="32"/>
    </row>
    <row r="13" spans="1:32">
      <c r="B13" s="104"/>
      <c r="C13" s="104"/>
      <c r="D13" s="104"/>
      <c r="E13" s="104"/>
      <c r="F13" s="104"/>
      <c r="G13" s="104"/>
      <c r="H13" s="104"/>
      <c r="K13" s="104"/>
      <c r="L13" s="104"/>
      <c r="M13" s="104"/>
      <c r="N13" s="104"/>
      <c r="O13" s="293"/>
      <c r="P13" s="293"/>
      <c r="Q13" s="104"/>
      <c r="R13" s="104"/>
      <c r="S13" s="104"/>
      <c r="T13" s="104"/>
      <c r="U13" s="104"/>
      <c r="V13" s="104"/>
      <c r="W13" s="104"/>
      <c r="X13" s="104"/>
      <c r="Y13" s="104"/>
      <c r="Z13" s="104"/>
      <c r="AA13" s="104"/>
      <c r="AB13" s="104"/>
      <c r="AC13" s="104"/>
      <c r="AD13" s="104"/>
      <c r="AE13" s="104"/>
      <c r="AF13" s="104"/>
    </row>
    <row r="14" spans="1:32">
      <c r="B14" s="104"/>
      <c r="C14" s="104"/>
      <c r="D14" s="104"/>
      <c r="E14" s="104"/>
      <c r="F14" s="104"/>
      <c r="G14" s="104"/>
      <c r="H14" s="104"/>
      <c r="K14" s="104"/>
      <c r="L14" s="104"/>
      <c r="M14" s="104"/>
      <c r="N14" s="104"/>
      <c r="O14" s="293"/>
      <c r="P14" s="293"/>
      <c r="Q14" s="104"/>
      <c r="R14" s="104"/>
      <c r="S14" s="104"/>
      <c r="T14" s="104"/>
      <c r="U14" s="104"/>
      <c r="V14" s="104"/>
      <c r="W14" s="104"/>
      <c r="X14" s="104"/>
      <c r="Y14" s="104"/>
      <c r="Z14" s="104"/>
      <c r="AA14" s="104"/>
      <c r="AB14" s="104"/>
      <c r="AC14" s="104"/>
      <c r="AD14" s="104"/>
      <c r="AE14" s="104"/>
      <c r="AF14" s="104"/>
    </row>
    <row r="15" spans="1:32" ht="18.75" customHeight="1"/>
    <row r="16" spans="1:32">
      <c r="A16" s="267" t="s">
        <v>1237</v>
      </c>
    </row>
    <row r="17" spans="1:11" ht="9" customHeight="1">
      <c r="A17" s="267"/>
    </row>
    <row r="18" spans="1:11">
      <c r="B18" s="53" t="s">
        <v>312</v>
      </c>
      <c r="C18" s="53" t="s">
        <v>312</v>
      </c>
      <c r="D18" s="53" t="s">
        <v>312</v>
      </c>
      <c r="E18" s="53" t="s">
        <v>312</v>
      </c>
      <c r="F18" s="53" t="s">
        <v>312</v>
      </c>
      <c r="G18" s="53" t="s">
        <v>312</v>
      </c>
      <c r="H18" s="269"/>
    </row>
    <row r="19" spans="1:11" ht="60">
      <c r="A19" s="270" t="s">
        <v>1238</v>
      </c>
      <c r="B19" s="271" t="s">
        <v>1658</v>
      </c>
      <c r="C19" s="294" t="s">
        <v>1659</v>
      </c>
      <c r="D19" s="294" t="s">
        <v>3917</v>
      </c>
      <c r="E19" s="294" t="s">
        <v>4270</v>
      </c>
      <c r="F19" s="294" t="s">
        <v>1660</v>
      </c>
      <c r="G19" s="294" t="s">
        <v>1661</v>
      </c>
      <c r="H19" s="288" t="s">
        <v>3916</v>
      </c>
      <c r="I19" s="288" t="s">
        <v>1662</v>
      </c>
      <c r="J19" s="288" t="s">
        <v>322</v>
      </c>
      <c r="K19"/>
    </row>
    <row r="20" spans="1:11" ht="15">
      <c r="A20" s="272">
        <v>1</v>
      </c>
      <c r="B20" s="147" t="s">
        <v>1242</v>
      </c>
      <c r="C20" s="295" t="s">
        <v>3886</v>
      </c>
      <c r="D20" s="295">
        <v>40000000000</v>
      </c>
      <c r="E20" s="296">
        <v>1</v>
      </c>
      <c r="F20" s="295">
        <v>80000000000</v>
      </c>
      <c r="G20" s="295">
        <v>1000000</v>
      </c>
      <c r="H20" s="797">
        <f>IFERROR(G20/F20,"")</f>
        <v>1.2500000000000001E-5</v>
      </c>
      <c r="I20" s="209">
        <f>IFERROR(VLOOKUP(C20,IndustryFactors_v1.4!$B$2:$C$210,2),"")</f>
        <v>5.1040409437033758E-2</v>
      </c>
      <c r="J20" s="210">
        <f>IFERROR(D20*E20*H20*I20/1000*'Reporting Year &amp; Inflation Adj.'!$F$9,"")</f>
        <v>24.754598576961367</v>
      </c>
      <c r="K20" s="297"/>
    </row>
    <row r="21" spans="1:11" ht="15">
      <c r="A21" s="272">
        <v>2</v>
      </c>
      <c r="B21" s="150"/>
      <c r="C21" s="150"/>
      <c r="D21" s="298"/>
      <c r="E21" s="299"/>
      <c r="F21" s="298"/>
      <c r="G21" s="298"/>
      <c r="H21" s="798" t="str">
        <f>IFERROR(G21/F21,"")</f>
        <v/>
      </c>
      <c r="I21" s="209" t="str">
        <f>IFERROR(VLOOKUP(C21,IndustryFactors_v1.4!$B$2:$C$210,2),"")</f>
        <v/>
      </c>
      <c r="J21" s="217" t="str">
        <f>IFERROR(D21*E21*H21*I21/1000*'Reporting Year &amp; Inflation Adj.'!$F$9,"")</f>
        <v/>
      </c>
    </row>
    <row r="22" spans="1:11" ht="15">
      <c r="A22" s="272">
        <v>3</v>
      </c>
      <c r="B22" s="150"/>
      <c r="C22" s="150"/>
      <c r="D22" s="298"/>
      <c r="E22" s="299"/>
      <c r="F22" s="298"/>
      <c r="G22" s="298"/>
      <c r="H22" s="798" t="str">
        <f t="shared" ref="H22:H69" si="0">IFERROR(G22/F22,"")</f>
        <v/>
      </c>
      <c r="I22" s="209" t="str">
        <f>IFERROR(VLOOKUP(C22,IndustryFactors_v1.4!$B$2:$C$210,2),"")</f>
        <v/>
      </c>
      <c r="J22" s="217" t="str">
        <f>IFERROR(D22*E22*H22*I22/1000*'Reporting Year &amp; Inflation Adj.'!$F$9,"")</f>
        <v/>
      </c>
    </row>
    <row r="23" spans="1:11" ht="15">
      <c r="A23" s="272">
        <v>4</v>
      </c>
      <c r="B23" s="150"/>
      <c r="C23" s="150"/>
      <c r="D23" s="298"/>
      <c r="E23" s="299"/>
      <c r="F23" s="298"/>
      <c r="G23" s="298"/>
      <c r="H23" s="798" t="str">
        <f t="shared" si="0"/>
        <v/>
      </c>
      <c r="I23" s="209" t="str">
        <f>IFERROR(VLOOKUP(C23,IndustryFactors_v1.4!$B$2:$C$210,2),"")</f>
        <v/>
      </c>
      <c r="J23" s="217" t="str">
        <f>IFERROR(D23*E23*H23*I23/1000*'Reporting Year &amp; Inflation Adj.'!$F$9,"")</f>
        <v/>
      </c>
    </row>
    <row r="24" spans="1:11" ht="15">
      <c r="A24" s="272">
        <v>5</v>
      </c>
      <c r="B24" s="150"/>
      <c r="C24" s="150"/>
      <c r="D24" s="298"/>
      <c r="E24" s="299"/>
      <c r="F24" s="298"/>
      <c r="G24" s="298"/>
      <c r="H24" s="798" t="str">
        <f t="shared" si="0"/>
        <v/>
      </c>
      <c r="I24" s="209" t="str">
        <f>IFERROR(VLOOKUP(C24,IndustryFactors_v1.4!$B$2:$C$210,2),"")</f>
        <v/>
      </c>
      <c r="J24" s="217" t="str">
        <f>IFERROR(D24*E24*H24*I24/1000*'Reporting Year &amp; Inflation Adj.'!$F$9,"")</f>
        <v/>
      </c>
    </row>
    <row r="25" spans="1:11" ht="15">
      <c r="A25" s="272">
        <v>6</v>
      </c>
      <c r="B25" s="150"/>
      <c r="C25" s="150"/>
      <c r="D25" s="298"/>
      <c r="E25" s="299"/>
      <c r="F25" s="298"/>
      <c r="G25" s="298"/>
      <c r="H25" s="798" t="str">
        <f t="shared" si="0"/>
        <v/>
      </c>
      <c r="I25" s="209" t="str">
        <f>IFERROR(VLOOKUP(C25,IndustryFactors_v1.4!$B$2:$C$210,2),"")</f>
        <v/>
      </c>
      <c r="J25" s="217" t="str">
        <f>IFERROR(D25*E25*H25*I25/1000*'Reporting Year &amp; Inflation Adj.'!$F$9,"")</f>
        <v/>
      </c>
    </row>
    <row r="26" spans="1:11" ht="15">
      <c r="A26" s="272">
        <v>7</v>
      </c>
      <c r="B26" s="150"/>
      <c r="C26" s="150"/>
      <c r="D26" s="298"/>
      <c r="E26" s="299"/>
      <c r="F26" s="298"/>
      <c r="G26" s="298"/>
      <c r="H26" s="798" t="str">
        <f t="shared" si="0"/>
        <v/>
      </c>
      <c r="I26" s="209" t="str">
        <f>IFERROR(VLOOKUP(C26,IndustryFactors_v1.4!$B$2:$C$210,2),"")</f>
        <v/>
      </c>
      <c r="J26" s="217" t="str">
        <f>IFERROR(D26*E26*H26*I26/1000*'Reporting Year &amp; Inflation Adj.'!$F$9,"")</f>
        <v/>
      </c>
    </row>
    <row r="27" spans="1:11" ht="15">
      <c r="A27" s="272">
        <v>8</v>
      </c>
      <c r="B27" s="150"/>
      <c r="C27" s="150"/>
      <c r="D27" s="298"/>
      <c r="E27" s="299"/>
      <c r="F27" s="298"/>
      <c r="G27" s="298"/>
      <c r="H27" s="798" t="str">
        <f t="shared" si="0"/>
        <v/>
      </c>
      <c r="I27" s="209" t="str">
        <f>IFERROR(VLOOKUP(C27,IndustryFactors_v1.4!$B$2:$C$210,2),"")</f>
        <v/>
      </c>
      <c r="J27" s="217" t="str">
        <f>IFERROR(D27*E27*H27*I27/1000*'Reporting Year &amp; Inflation Adj.'!$F$9,"")</f>
        <v/>
      </c>
    </row>
    <row r="28" spans="1:11" ht="15">
      <c r="A28" s="272">
        <v>9</v>
      </c>
      <c r="B28" s="150"/>
      <c r="C28" s="150"/>
      <c r="D28" s="298"/>
      <c r="E28" s="299"/>
      <c r="F28" s="298"/>
      <c r="G28" s="298"/>
      <c r="H28" s="798" t="str">
        <f t="shared" si="0"/>
        <v/>
      </c>
      <c r="I28" s="209" t="str">
        <f>IFERROR(VLOOKUP(C28,IndustryFactors_v1.4!$B$2:$C$210,2),"")</f>
        <v/>
      </c>
      <c r="J28" s="217" t="str">
        <f>IFERROR(D28*E28*H28*I28/1000*'Reporting Year &amp; Inflation Adj.'!$F$9,"")</f>
        <v/>
      </c>
    </row>
    <row r="29" spans="1:11" ht="15">
      <c r="A29" s="272">
        <v>10</v>
      </c>
      <c r="B29" s="150"/>
      <c r="C29" s="150"/>
      <c r="D29" s="298"/>
      <c r="E29" s="299"/>
      <c r="F29" s="298"/>
      <c r="G29" s="298"/>
      <c r="H29" s="798" t="str">
        <f t="shared" si="0"/>
        <v/>
      </c>
      <c r="I29" s="209" t="str">
        <f>IFERROR(VLOOKUP(C29,IndustryFactors_v1.4!$B$2:$C$210,2),"")</f>
        <v/>
      </c>
      <c r="J29" s="217" t="str">
        <f>IFERROR(D29*E29*H29*I29/1000*'Reporting Year &amp; Inflation Adj.'!$F$9,"")</f>
        <v/>
      </c>
    </row>
    <row r="30" spans="1:11" ht="15">
      <c r="A30" s="272">
        <v>11</v>
      </c>
      <c r="B30" s="150"/>
      <c r="C30" s="150"/>
      <c r="D30" s="298"/>
      <c r="E30" s="299"/>
      <c r="F30" s="298"/>
      <c r="G30" s="298"/>
      <c r="H30" s="798" t="str">
        <f t="shared" si="0"/>
        <v/>
      </c>
      <c r="I30" s="209" t="str">
        <f>IFERROR(VLOOKUP(C30,IndustryFactors_v1.4!$B$2:$C$210,2),"")</f>
        <v/>
      </c>
      <c r="J30" s="217" t="str">
        <f>IFERROR(D30*E30*H30*I30/1000*'Reporting Year &amp; Inflation Adj.'!$F$9,"")</f>
        <v/>
      </c>
    </row>
    <row r="31" spans="1:11" ht="15">
      <c r="A31" s="272">
        <v>12</v>
      </c>
      <c r="B31" s="150"/>
      <c r="C31" s="150"/>
      <c r="D31" s="298"/>
      <c r="E31" s="299"/>
      <c r="F31" s="298"/>
      <c r="G31" s="298"/>
      <c r="H31" s="798" t="str">
        <f t="shared" si="0"/>
        <v/>
      </c>
      <c r="I31" s="209" t="str">
        <f>IFERROR(VLOOKUP(C31,IndustryFactors_v1.4!$B$2:$C$210,2),"")</f>
        <v/>
      </c>
      <c r="J31" s="217" t="str">
        <f>IFERROR(D31*E31*H31*I31/1000*'Reporting Year &amp; Inflation Adj.'!$F$9,"")</f>
        <v/>
      </c>
    </row>
    <row r="32" spans="1:11" ht="15">
      <c r="A32" s="272">
        <v>13</v>
      </c>
      <c r="B32" s="150"/>
      <c r="C32" s="150"/>
      <c r="D32" s="298"/>
      <c r="E32" s="299"/>
      <c r="F32" s="298"/>
      <c r="G32" s="298"/>
      <c r="H32" s="798" t="str">
        <f t="shared" si="0"/>
        <v/>
      </c>
      <c r="I32" s="209" t="str">
        <f>IFERROR(VLOOKUP(C32,IndustryFactors_v1.4!$B$2:$C$210,2),"")</f>
        <v/>
      </c>
      <c r="J32" s="217" t="str">
        <f>IFERROR(D32*E32*H32*I32/1000*'Reporting Year &amp; Inflation Adj.'!$F$9,"")</f>
        <v/>
      </c>
    </row>
    <row r="33" spans="1:10" ht="15">
      <c r="A33" s="272">
        <v>14</v>
      </c>
      <c r="B33" s="150"/>
      <c r="C33" s="150"/>
      <c r="D33" s="298"/>
      <c r="E33" s="299"/>
      <c r="F33" s="298"/>
      <c r="G33" s="298"/>
      <c r="H33" s="798" t="str">
        <f t="shared" si="0"/>
        <v/>
      </c>
      <c r="I33" s="209" t="str">
        <f>IFERROR(VLOOKUP(C33,IndustryFactors_v1.4!$B$2:$C$210,2),"")</f>
        <v/>
      </c>
      <c r="J33" s="217" t="str">
        <f>IFERROR(D33*E33*H33*I33/1000*'Reporting Year &amp; Inflation Adj.'!$F$9,"")</f>
        <v/>
      </c>
    </row>
    <row r="34" spans="1:10" ht="15">
      <c r="A34" s="272">
        <v>15</v>
      </c>
      <c r="B34" s="150"/>
      <c r="C34" s="150"/>
      <c r="D34" s="298"/>
      <c r="E34" s="299"/>
      <c r="F34" s="298"/>
      <c r="G34" s="298"/>
      <c r="H34" s="798" t="str">
        <f t="shared" si="0"/>
        <v/>
      </c>
      <c r="I34" s="209" t="str">
        <f>IFERROR(VLOOKUP(C34,IndustryFactors_v1.4!$B$2:$C$210,2),"")</f>
        <v/>
      </c>
      <c r="J34" s="217" t="str">
        <f>IFERROR(D34*E34*H34*I34/1000*'Reporting Year &amp; Inflation Adj.'!$F$9,"")</f>
        <v/>
      </c>
    </row>
    <row r="35" spans="1:10" ht="15">
      <c r="A35" s="272">
        <v>16</v>
      </c>
      <c r="B35" s="150"/>
      <c r="C35" s="150"/>
      <c r="D35" s="298"/>
      <c r="E35" s="299"/>
      <c r="F35" s="298"/>
      <c r="G35" s="298"/>
      <c r="H35" s="798" t="str">
        <f t="shared" si="0"/>
        <v/>
      </c>
      <c r="I35" s="209" t="str">
        <f>IFERROR(VLOOKUP(C35,IndustryFactors_v1.4!$B$2:$C$210,2),"")</f>
        <v/>
      </c>
      <c r="J35" s="217" t="str">
        <f>IFERROR(D35*E35*H35*I35/1000*'Reporting Year &amp; Inflation Adj.'!$F$9,"")</f>
        <v/>
      </c>
    </row>
    <row r="36" spans="1:10" ht="15">
      <c r="A36" s="272">
        <v>17</v>
      </c>
      <c r="B36" s="150"/>
      <c r="C36" s="150"/>
      <c r="D36" s="298"/>
      <c r="E36" s="299"/>
      <c r="F36" s="298"/>
      <c r="G36" s="298"/>
      <c r="H36" s="798" t="str">
        <f t="shared" si="0"/>
        <v/>
      </c>
      <c r="I36" s="209" t="str">
        <f>IFERROR(VLOOKUP(C36,IndustryFactors_v1.4!$B$2:$C$210,2),"")</f>
        <v/>
      </c>
      <c r="J36" s="217" t="str">
        <f>IFERROR(D36*E36*H36*I36/1000*'Reporting Year &amp; Inflation Adj.'!$F$9,"")</f>
        <v/>
      </c>
    </row>
    <row r="37" spans="1:10" ht="15">
      <c r="A37" s="272">
        <v>18</v>
      </c>
      <c r="B37" s="150"/>
      <c r="C37" s="150"/>
      <c r="D37" s="298"/>
      <c r="E37" s="299"/>
      <c r="F37" s="298"/>
      <c r="G37" s="298"/>
      <c r="H37" s="798" t="str">
        <f t="shared" si="0"/>
        <v/>
      </c>
      <c r="I37" s="209" t="str">
        <f>IFERROR(VLOOKUP(C37,IndustryFactors_v1.4!$B$2:$C$210,2),"")</f>
        <v/>
      </c>
      <c r="J37" s="217" t="str">
        <f>IFERROR(D37*E37*H37*I37/1000*'Reporting Year &amp; Inflation Adj.'!$F$9,"")</f>
        <v/>
      </c>
    </row>
    <row r="38" spans="1:10" ht="15">
      <c r="A38" s="272">
        <v>19</v>
      </c>
      <c r="B38" s="150"/>
      <c r="C38" s="150"/>
      <c r="D38" s="298"/>
      <c r="E38" s="299"/>
      <c r="F38" s="298"/>
      <c r="G38" s="298"/>
      <c r="H38" s="798" t="str">
        <f t="shared" si="0"/>
        <v/>
      </c>
      <c r="I38" s="209" t="str">
        <f>IFERROR(VLOOKUP(C38,IndustryFactors_v1.4!$B$2:$C$210,2),"")</f>
        <v/>
      </c>
      <c r="J38" s="217" t="str">
        <f>IFERROR(D38*E38*H38*I38/1000*'Reporting Year &amp; Inflation Adj.'!$F$9,"")</f>
        <v/>
      </c>
    </row>
    <row r="39" spans="1:10" ht="15">
      <c r="A39" s="272">
        <v>20</v>
      </c>
      <c r="B39" s="150"/>
      <c r="C39" s="150"/>
      <c r="D39" s="298"/>
      <c r="E39" s="299"/>
      <c r="F39" s="298"/>
      <c r="G39" s="298"/>
      <c r="H39" s="798" t="str">
        <f t="shared" si="0"/>
        <v/>
      </c>
      <c r="I39" s="209" t="str">
        <f>IFERROR(VLOOKUP(C39,IndustryFactors_v1.4!$B$2:$C$210,2),"")</f>
        <v/>
      </c>
      <c r="J39" s="217" t="str">
        <f>IFERROR(D39*E39*H39*I39/1000*'Reporting Year &amp; Inflation Adj.'!$F$9,"")</f>
        <v/>
      </c>
    </row>
    <row r="40" spans="1:10" ht="15">
      <c r="A40" s="272">
        <v>21</v>
      </c>
      <c r="B40" s="150"/>
      <c r="C40" s="150"/>
      <c r="D40" s="298"/>
      <c r="E40" s="299"/>
      <c r="F40" s="298"/>
      <c r="G40" s="298"/>
      <c r="H40" s="798" t="str">
        <f t="shared" si="0"/>
        <v/>
      </c>
      <c r="I40" s="209" t="str">
        <f>IFERROR(VLOOKUP(C40,IndustryFactors_v1.4!$B$2:$C$210,2),"")</f>
        <v/>
      </c>
      <c r="J40" s="217" t="str">
        <f>IFERROR(D40*E40*H40*I40/1000*'Reporting Year &amp; Inflation Adj.'!$F$9,"")</f>
        <v/>
      </c>
    </row>
    <row r="41" spans="1:10" ht="15">
      <c r="A41" s="272">
        <v>22</v>
      </c>
      <c r="B41" s="150"/>
      <c r="C41" s="150"/>
      <c r="D41" s="298"/>
      <c r="E41" s="299"/>
      <c r="F41" s="298"/>
      <c r="G41" s="298"/>
      <c r="H41" s="798" t="str">
        <f t="shared" si="0"/>
        <v/>
      </c>
      <c r="I41" s="209" t="str">
        <f>IFERROR(VLOOKUP(C41,IndustryFactors_v1.4!$B$2:$C$210,2),"")</f>
        <v/>
      </c>
      <c r="J41" s="217" t="str">
        <f>IFERROR(D41*E41*H41*I41/1000*'Reporting Year &amp; Inflation Adj.'!$F$9,"")</f>
        <v/>
      </c>
    </row>
    <row r="42" spans="1:10" ht="15">
      <c r="A42" s="272">
        <v>23</v>
      </c>
      <c r="B42" s="150"/>
      <c r="C42" s="150"/>
      <c r="D42" s="298"/>
      <c r="E42" s="299"/>
      <c r="F42" s="298"/>
      <c r="G42" s="298"/>
      <c r="H42" s="798" t="str">
        <f t="shared" si="0"/>
        <v/>
      </c>
      <c r="I42" s="209" t="str">
        <f>IFERROR(VLOOKUP(C42,IndustryFactors_v1.4!$B$2:$C$210,2),"")</f>
        <v/>
      </c>
      <c r="J42" s="217" t="str">
        <f>IFERROR(D42*E42*H42*I42/1000*'Reporting Year &amp; Inflation Adj.'!$F$9,"")</f>
        <v/>
      </c>
    </row>
    <row r="43" spans="1:10" ht="15">
      <c r="A43" s="272">
        <v>24</v>
      </c>
      <c r="B43" s="150"/>
      <c r="C43" s="150"/>
      <c r="D43" s="298"/>
      <c r="E43" s="299"/>
      <c r="F43" s="298"/>
      <c r="G43" s="298"/>
      <c r="H43" s="798" t="str">
        <f t="shared" si="0"/>
        <v/>
      </c>
      <c r="I43" s="209" t="str">
        <f>IFERROR(VLOOKUP(C43,IndustryFactors_v1.4!$B$2:$C$210,2),"")</f>
        <v/>
      </c>
      <c r="J43" s="217" t="str">
        <f>IFERROR(D43*E43*H43*I43/1000*'Reporting Year &amp; Inflation Adj.'!$F$9,"")</f>
        <v/>
      </c>
    </row>
    <row r="44" spans="1:10" ht="15">
      <c r="A44" s="272">
        <v>25</v>
      </c>
      <c r="B44" s="150"/>
      <c r="C44" s="150"/>
      <c r="D44" s="298"/>
      <c r="E44" s="299"/>
      <c r="F44" s="298"/>
      <c r="G44" s="298"/>
      <c r="H44" s="798" t="str">
        <f t="shared" si="0"/>
        <v/>
      </c>
      <c r="I44" s="209" t="str">
        <f>IFERROR(VLOOKUP(C44,IndustryFactors_v1.4!$B$2:$C$210,2),"")</f>
        <v/>
      </c>
      <c r="J44" s="217" t="str">
        <f>IFERROR(D44*E44*H44*I44/1000*'Reporting Year &amp; Inflation Adj.'!$F$9,"")</f>
        <v/>
      </c>
    </row>
    <row r="45" spans="1:10" ht="15">
      <c r="A45" s="272">
        <v>26</v>
      </c>
      <c r="B45" s="150"/>
      <c r="C45" s="150"/>
      <c r="D45" s="298"/>
      <c r="E45" s="299"/>
      <c r="F45" s="298"/>
      <c r="G45" s="298"/>
      <c r="H45" s="798" t="str">
        <f t="shared" si="0"/>
        <v/>
      </c>
      <c r="I45" s="209" t="str">
        <f>IFERROR(VLOOKUP(C45,IndustryFactors_v1.4!$B$2:$C$210,2),"")</f>
        <v/>
      </c>
      <c r="J45" s="217" t="str">
        <f>IFERROR(D45*E45*H45*I45/1000*'Reporting Year &amp; Inflation Adj.'!$F$9,"")</f>
        <v/>
      </c>
    </row>
    <row r="46" spans="1:10" ht="15">
      <c r="A46" s="272">
        <v>27</v>
      </c>
      <c r="B46" s="150"/>
      <c r="C46" s="150"/>
      <c r="D46" s="298"/>
      <c r="E46" s="299"/>
      <c r="F46" s="298"/>
      <c r="G46" s="298"/>
      <c r="H46" s="798" t="str">
        <f t="shared" si="0"/>
        <v/>
      </c>
      <c r="I46" s="209" t="str">
        <f>IFERROR(VLOOKUP(C46,IndustryFactors_v1.4!$B$2:$C$210,2),"")</f>
        <v/>
      </c>
      <c r="J46" s="217" t="str">
        <f>IFERROR(D46*E46*H46*I46/1000*'Reporting Year &amp; Inflation Adj.'!$F$9,"")</f>
        <v/>
      </c>
    </row>
    <row r="47" spans="1:10" ht="15">
      <c r="A47" s="272">
        <v>28</v>
      </c>
      <c r="B47" s="150"/>
      <c r="C47" s="150"/>
      <c r="D47" s="298"/>
      <c r="E47" s="299"/>
      <c r="F47" s="298"/>
      <c r="G47" s="298"/>
      <c r="H47" s="798" t="str">
        <f t="shared" si="0"/>
        <v/>
      </c>
      <c r="I47" s="209" t="str">
        <f>IFERROR(VLOOKUP(C47,IndustryFactors_v1.4!$B$2:$C$210,2),"")</f>
        <v/>
      </c>
      <c r="J47" s="217" t="str">
        <f>IFERROR(D47*E47*H47*I47/1000*'Reporting Year &amp; Inflation Adj.'!$F$9,"")</f>
        <v/>
      </c>
    </row>
    <row r="48" spans="1:10" ht="15">
      <c r="A48" s="272">
        <v>29</v>
      </c>
      <c r="B48" s="150"/>
      <c r="C48" s="150"/>
      <c r="D48" s="298"/>
      <c r="E48" s="299"/>
      <c r="F48" s="298"/>
      <c r="G48" s="298"/>
      <c r="H48" s="798" t="str">
        <f t="shared" si="0"/>
        <v/>
      </c>
      <c r="I48" s="209" t="str">
        <f>IFERROR(VLOOKUP(C48,IndustryFactors_v1.4!$B$2:$C$210,2),"")</f>
        <v/>
      </c>
      <c r="J48" s="217" t="str">
        <f>IFERROR(D48*E48*H48*I48/1000*'Reporting Year &amp; Inflation Adj.'!$F$9,"")</f>
        <v/>
      </c>
    </row>
    <row r="49" spans="1:10" ht="15">
      <c r="A49" s="272">
        <v>30</v>
      </c>
      <c r="B49" s="150"/>
      <c r="C49" s="150"/>
      <c r="D49" s="298"/>
      <c r="E49" s="299"/>
      <c r="F49" s="298"/>
      <c r="G49" s="298"/>
      <c r="H49" s="798" t="str">
        <f t="shared" si="0"/>
        <v/>
      </c>
      <c r="I49" s="209" t="str">
        <f>IFERROR(VLOOKUP(C49,IndustryFactors_v1.4!$B$2:$C$210,2),"")</f>
        <v/>
      </c>
      <c r="J49" s="217" t="str">
        <f>IFERROR(D49*E49*H49*I49/1000*'Reporting Year &amp; Inflation Adj.'!$F$9,"")</f>
        <v/>
      </c>
    </row>
    <row r="50" spans="1:10" ht="15">
      <c r="A50" s="272">
        <v>31</v>
      </c>
      <c r="B50" s="150"/>
      <c r="C50" s="150"/>
      <c r="D50" s="298"/>
      <c r="E50" s="299"/>
      <c r="F50" s="298"/>
      <c r="G50" s="298"/>
      <c r="H50" s="798" t="str">
        <f t="shared" si="0"/>
        <v/>
      </c>
      <c r="I50" s="209" t="str">
        <f>IFERROR(VLOOKUP(C50,IndustryFactors_v1.4!$B$2:$C$210,2),"")</f>
        <v/>
      </c>
      <c r="J50" s="217" t="str">
        <f>IFERROR(D50*E50*H50*I50/1000*'Reporting Year &amp; Inflation Adj.'!$F$9,"")</f>
        <v/>
      </c>
    </row>
    <row r="51" spans="1:10" ht="15">
      <c r="A51" s="272">
        <v>32</v>
      </c>
      <c r="B51" s="150"/>
      <c r="C51" s="150"/>
      <c r="D51" s="298"/>
      <c r="E51" s="299"/>
      <c r="F51" s="298"/>
      <c r="G51" s="298"/>
      <c r="H51" s="798" t="str">
        <f t="shared" si="0"/>
        <v/>
      </c>
      <c r="I51" s="209" t="str">
        <f>IFERROR(VLOOKUP(C51,IndustryFactors_v1.4!$B$2:$C$210,2),"")</f>
        <v/>
      </c>
      <c r="J51" s="217" t="str">
        <f>IFERROR(D51*E51*H51*I51/1000*'Reporting Year &amp; Inflation Adj.'!$F$9,"")</f>
        <v/>
      </c>
    </row>
    <row r="52" spans="1:10" ht="15">
      <c r="A52" s="272">
        <v>33</v>
      </c>
      <c r="B52" s="150"/>
      <c r="C52" s="150"/>
      <c r="D52" s="298"/>
      <c r="E52" s="299"/>
      <c r="F52" s="298"/>
      <c r="G52" s="298"/>
      <c r="H52" s="798" t="str">
        <f t="shared" si="0"/>
        <v/>
      </c>
      <c r="I52" s="209" t="str">
        <f>IFERROR(VLOOKUP(C52,IndustryFactors_v1.4!$B$2:$C$210,2),"")</f>
        <v/>
      </c>
      <c r="J52" s="217" t="str">
        <f>IFERROR(D52*E52*H52*I52/1000*'Reporting Year &amp; Inflation Adj.'!$F$9,"")</f>
        <v/>
      </c>
    </row>
    <row r="53" spans="1:10" ht="15">
      <c r="A53" s="272">
        <v>34</v>
      </c>
      <c r="B53" s="150"/>
      <c r="C53" s="150"/>
      <c r="D53" s="298"/>
      <c r="E53" s="299"/>
      <c r="F53" s="298"/>
      <c r="G53" s="298"/>
      <c r="H53" s="798" t="str">
        <f t="shared" si="0"/>
        <v/>
      </c>
      <c r="I53" s="209" t="str">
        <f>IFERROR(VLOOKUP(C53,IndustryFactors_v1.4!$B$2:$C$210,2),"")</f>
        <v/>
      </c>
      <c r="J53" s="217" t="str">
        <f>IFERROR(D53*E53*H53*I53/1000*'Reporting Year &amp; Inflation Adj.'!$F$9,"")</f>
        <v/>
      </c>
    </row>
    <row r="54" spans="1:10" ht="15">
      <c r="A54" s="272">
        <v>35</v>
      </c>
      <c r="B54" s="150"/>
      <c r="C54" s="150"/>
      <c r="D54" s="298"/>
      <c r="E54" s="299"/>
      <c r="F54" s="298"/>
      <c r="G54" s="298"/>
      <c r="H54" s="798" t="str">
        <f t="shared" si="0"/>
        <v/>
      </c>
      <c r="I54" s="209" t="str">
        <f>IFERROR(VLOOKUP(C54,IndustryFactors_v1.4!$B$2:$C$210,2),"")</f>
        <v/>
      </c>
      <c r="J54" s="217" t="str">
        <f>IFERROR(D54*E54*H54*I54/1000*'Reporting Year &amp; Inflation Adj.'!$F$9,"")</f>
        <v/>
      </c>
    </row>
    <row r="55" spans="1:10" ht="15">
      <c r="A55" s="272">
        <v>36</v>
      </c>
      <c r="B55" s="150"/>
      <c r="C55" s="150"/>
      <c r="D55" s="298"/>
      <c r="E55" s="299"/>
      <c r="F55" s="298"/>
      <c r="G55" s="298"/>
      <c r="H55" s="798" t="str">
        <f t="shared" si="0"/>
        <v/>
      </c>
      <c r="I55" s="209" t="str">
        <f>IFERROR(VLOOKUP(C55,IndustryFactors_v1.4!$B$2:$C$210,2),"")</f>
        <v/>
      </c>
      <c r="J55" s="217" t="str">
        <f>IFERROR(D55*E55*H55*I55/1000*'Reporting Year &amp; Inflation Adj.'!$F$9,"")</f>
        <v/>
      </c>
    </row>
    <row r="56" spans="1:10" ht="15">
      <c r="A56" s="272">
        <v>37</v>
      </c>
      <c r="B56" s="150"/>
      <c r="C56" s="150"/>
      <c r="D56" s="298"/>
      <c r="E56" s="299"/>
      <c r="F56" s="298"/>
      <c r="G56" s="298"/>
      <c r="H56" s="798" t="str">
        <f t="shared" si="0"/>
        <v/>
      </c>
      <c r="I56" s="209" t="str">
        <f>IFERROR(VLOOKUP(C56,IndustryFactors_v1.4!$B$2:$C$210,2),"")</f>
        <v/>
      </c>
      <c r="J56" s="217" t="str">
        <f>IFERROR(D56*E56*H56*I56/1000*'Reporting Year &amp; Inflation Adj.'!$F$9,"")</f>
        <v/>
      </c>
    </row>
    <row r="57" spans="1:10" ht="15">
      <c r="A57" s="272">
        <v>38</v>
      </c>
      <c r="B57" s="150"/>
      <c r="C57" s="150"/>
      <c r="D57" s="298"/>
      <c r="E57" s="299"/>
      <c r="F57" s="298"/>
      <c r="G57" s="298"/>
      <c r="H57" s="798" t="str">
        <f t="shared" si="0"/>
        <v/>
      </c>
      <c r="I57" s="209" t="str">
        <f>IFERROR(VLOOKUP(C57,IndustryFactors_v1.4!$B$2:$C$210,2),"")</f>
        <v/>
      </c>
      <c r="J57" s="217" t="str">
        <f>IFERROR(D57*E57*H57*I57/1000*'Reporting Year &amp; Inflation Adj.'!$F$9,"")</f>
        <v/>
      </c>
    </row>
    <row r="58" spans="1:10" ht="15">
      <c r="A58" s="272">
        <v>39</v>
      </c>
      <c r="B58" s="150"/>
      <c r="C58" s="150"/>
      <c r="D58" s="298"/>
      <c r="E58" s="299"/>
      <c r="F58" s="298"/>
      <c r="G58" s="298"/>
      <c r="H58" s="798" t="str">
        <f t="shared" si="0"/>
        <v/>
      </c>
      <c r="I58" s="209" t="str">
        <f>IFERROR(VLOOKUP(C58,IndustryFactors_v1.4!$B$2:$C$210,2),"")</f>
        <v/>
      </c>
      <c r="J58" s="217" t="str">
        <f>IFERROR(D58*E58*H58*I58/1000*'Reporting Year &amp; Inflation Adj.'!$F$9,"")</f>
        <v/>
      </c>
    </row>
    <row r="59" spans="1:10" ht="15">
      <c r="A59" s="272">
        <v>40</v>
      </c>
      <c r="B59" s="150"/>
      <c r="C59" s="150"/>
      <c r="D59" s="298"/>
      <c r="E59" s="299"/>
      <c r="F59" s="298"/>
      <c r="G59" s="298"/>
      <c r="H59" s="798" t="str">
        <f t="shared" si="0"/>
        <v/>
      </c>
      <c r="I59" s="209" t="str">
        <f>IFERROR(VLOOKUP(C59,IndustryFactors_v1.4!$B$2:$C$210,2),"")</f>
        <v/>
      </c>
      <c r="J59" s="217" t="str">
        <f>IFERROR(D59*E59*H59*I59/1000*'Reporting Year &amp; Inflation Adj.'!$F$9,"")</f>
        <v/>
      </c>
    </row>
    <row r="60" spans="1:10" ht="15">
      <c r="A60" s="272">
        <v>41</v>
      </c>
      <c r="B60" s="150"/>
      <c r="C60" s="150"/>
      <c r="D60" s="298"/>
      <c r="E60" s="299"/>
      <c r="F60" s="298"/>
      <c r="G60" s="298"/>
      <c r="H60" s="798" t="str">
        <f t="shared" si="0"/>
        <v/>
      </c>
      <c r="I60" s="209" t="str">
        <f>IFERROR(VLOOKUP(C60,IndustryFactors_v1.4!$B$2:$C$210,2),"")</f>
        <v/>
      </c>
      <c r="J60" s="217" t="str">
        <f>IFERROR(D60*E60*H60*I60/1000*'Reporting Year &amp; Inflation Adj.'!$F$9,"")</f>
        <v/>
      </c>
    </row>
    <row r="61" spans="1:10" ht="15">
      <c r="A61" s="272">
        <v>42</v>
      </c>
      <c r="B61" s="150"/>
      <c r="C61" s="150"/>
      <c r="D61" s="298"/>
      <c r="E61" s="299"/>
      <c r="F61" s="298"/>
      <c r="G61" s="298"/>
      <c r="H61" s="798" t="str">
        <f t="shared" si="0"/>
        <v/>
      </c>
      <c r="I61" s="209" t="str">
        <f>IFERROR(VLOOKUP(C61,IndustryFactors_v1.4!$B$2:$C$210,2),"")</f>
        <v/>
      </c>
      <c r="J61" s="217" t="str">
        <f>IFERROR(D61*E61*H61*I61/1000*'Reporting Year &amp; Inflation Adj.'!$F$9,"")</f>
        <v/>
      </c>
    </row>
    <row r="62" spans="1:10" ht="15">
      <c r="A62" s="272">
        <v>43</v>
      </c>
      <c r="B62" s="150"/>
      <c r="C62" s="150"/>
      <c r="D62" s="298"/>
      <c r="E62" s="299"/>
      <c r="F62" s="298"/>
      <c r="G62" s="298"/>
      <c r="H62" s="798" t="str">
        <f t="shared" si="0"/>
        <v/>
      </c>
      <c r="I62" s="209" t="str">
        <f>IFERROR(VLOOKUP(C62,IndustryFactors_v1.4!$B$2:$C$210,2),"")</f>
        <v/>
      </c>
      <c r="J62" s="217" t="str">
        <f>IFERROR(D62*E62*H62*I62/1000*'Reporting Year &amp; Inflation Adj.'!$F$9,"")</f>
        <v/>
      </c>
    </row>
    <row r="63" spans="1:10" ht="15">
      <c r="A63" s="272">
        <v>44</v>
      </c>
      <c r="B63" s="150"/>
      <c r="C63" s="150"/>
      <c r="D63" s="298"/>
      <c r="E63" s="299"/>
      <c r="F63" s="298"/>
      <c r="G63" s="298"/>
      <c r="H63" s="798" t="str">
        <f t="shared" si="0"/>
        <v/>
      </c>
      <c r="I63" s="209" t="str">
        <f>IFERROR(VLOOKUP(C63,IndustryFactors_v1.4!$B$2:$C$210,2),"")</f>
        <v/>
      </c>
      <c r="J63" s="217" t="str">
        <f>IFERROR(D63*E63*H63*I63/1000*'Reporting Year &amp; Inflation Adj.'!$F$9,"")</f>
        <v/>
      </c>
    </row>
    <row r="64" spans="1:10" ht="15">
      <c r="A64" s="272">
        <v>45</v>
      </c>
      <c r="B64" s="150"/>
      <c r="C64" s="150"/>
      <c r="D64" s="298"/>
      <c r="E64" s="299"/>
      <c r="F64" s="298"/>
      <c r="G64" s="298"/>
      <c r="H64" s="798" t="str">
        <f t="shared" si="0"/>
        <v/>
      </c>
      <c r="I64" s="209" t="str">
        <f>IFERROR(VLOOKUP(C64,IndustryFactors_v1.4!$B$2:$C$210,2),"")</f>
        <v/>
      </c>
      <c r="J64" s="217" t="str">
        <f>IFERROR(D64*E64*H64*I64/1000*'Reporting Year &amp; Inflation Adj.'!$F$9,"")</f>
        <v/>
      </c>
    </row>
    <row r="65" spans="1:10" ht="15">
      <c r="A65" s="272">
        <v>46</v>
      </c>
      <c r="B65" s="150"/>
      <c r="C65" s="150"/>
      <c r="D65" s="298"/>
      <c r="E65" s="299"/>
      <c r="F65" s="298"/>
      <c r="G65" s="298"/>
      <c r="H65" s="798" t="str">
        <f t="shared" si="0"/>
        <v/>
      </c>
      <c r="I65" s="209" t="str">
        <f>IFERROR(VLOOKUP(C65,IndustryFactors_v1.4!$B$2:$C$210,2),"")</f>
        <v/>
      </c>
      <c r="J65" s="217" t="str">
        <f>IFERROR(D65*E65*H65*I65/1000*'Reporting Year &amp; Inflation Adj.'!$F$9,"")</f>
        <v/>
      </c>
    </row>
    <row r="66" spans="1:10" ht="15">
      <c r="A66" s="272">
        <v>47</v>
      </c>
      <c r="B66" s="150"/>
      <c r="C66" s="150"/>
      <c r="D66" s="298"/>
      <c r="E66" s="299"/>
      <c r="F66" s="298"/>
      <c r="G66" s="298"/>
      <c r="H66" s="798" t="str">
        <f t="shared" si="0"/>
        <v/>
      </c>
      <c r="I66" s="209" t="str">
        <f>IFERROR(VLOOKUP(C66,IndustryFactors_v1.4!$B$2:$C$210,2),"")</f>
        <v/>
      </c>
      <c r="J66" s="217" t="str">
        <f>IFERROR(D66*E66*H66*I66/1000*'Reporting Year &amp; Inflation Adj.'!$F$9,"")</f>
        <v/>
      </c>
    </row>
    <row r="67" spans="1:10" ht="15">
      <c r="A67" s="272">
        <v>48</v>
      </c>
      <c r="B67" s="150"/>
      <c r="C67" s="150"/>
      <c r="D67" s="298"/>
      <c r="E67" s="299"/>
      <c r="F67" s="298"/>
      <c r="G67" s="298"/>
      <c r="H67" s="798" t="str">
        <f t="shared" si="0"/>
        <v/>
      </c>
      <c r="I67" s="209" t="str">
        <f>IFERROR(VLOOKUP(C67,IndustryFactors_v1.4!$B$2:$C$210,2),"")</f>
        <v/>
      </c>
      <c r="J67" s="217" t="str">
        <f>IFERROR(D67*E67*H67*I67/1000*'Reporting Year &amp; Inflation Adj.'!$F$9,"")</f>
        <v/>
      </c>
    </row>
    <row r="68" spans="1:10" ht="15">
      <c r="A68" s="272">
        <v>49</v>
      </c>
      <c r="B68" s="150"/>
      <c r="C68" s="150"/>
      <c r="D68" s="298"/>
      <c r="E68" s="299"/>
      <c r="F68" s="298"/>
      <c r="G68" s="298"/>
      <c r="H68" s="798" t="str">
        <f t="shared" si="0"/>
        <v/>
      </c>
      <c r="I68" s="209" t="str">
        <f>IFERROR(VLOOKUP(C68,IndustryFactors_v1.4!$B$2:$C$210,2),"")</f>
        <v/>
      </c>
      <c r="J68" s="217" t="str">
        <f>IFERROR(D68*E68*H68*I68/1000*'Reporting Year &amp; Inflation Adj.'!$F$9,"")</f>
        <v/>
      </c>
    </row>
    <row r="69" spans="1:10" ht="15.75" thickBot="1">
      <c r="A69" s="272">
        <v>50</v>
      </c>
      <c r="B69" s="150"/>
      <c r="C69" s="150"/>
      <c r="D69" s="298"/>
      <c r="E69" s="299"/>
      <c r="F69" s="298"/>
      <c r="G69" s="298"/>
      <c r="H69" s="798" t="str">
        <f t="shared" si="0"/>
        <v/>
      </c>
      <c r="I69" s="209" t="str">
        <f>IFERROR(VLOOKUP(C69,IndustryFactors_v1.4!$B$2:$C$210,2),"")</f>
        <v/>
      </c>
      <c r="J69" s="217" t="str">
        <f>IFERROR(D69*E69*H69*I69/1000*'Reporting Year &amp; Inflation Adj.'!$F$9,"")</f>
        <v/>
      </c>
    </row>
    <row r="70" spans="1:10" ht="15" thickBot="1">
      <c r="J70" s="300">
        <f>SUM($J$21:$J$69)</f>
        <v>0</v>
      </c>
    </row>
  </sheetData>
  <sheetProtection algorithmName="SHA-512" hashValue="rD5fE6KI45yaXOnq6bQ6ETrVMahbn+QsLyoSvpgDT0OzhJMZLvwZysNC4QhRJO+ER1oQRky/rGgn6xpF2O8FeA==" saltValue="p06IUvLfT6DacWGcftbJEQ==" spinCount="100000" sheet="1" objects="1" scenarios="1"/>
  <pageMargins left="0.7" right="0.7" top="0.75" bottom="0.75" header="0.3" footer="0.3"/>
  <pageSetup orientation="portrait" horizontalDpi="1200" verticalDpi="12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F076D70-1D01-4FD5-AA0F-0DD26D1D3DD1}">
          <x14:formula1>
            <xm:f>IndustryFactors_v1.4!$B$2:$B$186</xm:f>
          </x14:formula1>
          <xm:sqref>C20:C69</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9A066-4141-47B7-B714-265820EDAA40}">
  <sheetPr codeName="Sheet39">
    <tabColor theme="3" tint="0.59999389629810485"/>
  </sheetPr>
  <dimension ref="A1:K188"/>
  <sheetViews>
    <sheetView zoomScaleNormal="100" workbookViewId="0">
      <pane xSplit="2" ySplit="3" topLeftCell="C4" activePane="bottomRight" state="frozen"/>
      <selection activeCell="E26" sqref="E26"/>
      <selection pane="topRight" activeCell="E26" sqref="E26"/>
      <selection pane="bottomLeft" activeCell="E26" sqref="E26"/>
      <selection pane="bottomRight" activeCell="E6" sqref="E6"/>
    </sheetView>
  </sheetViews>
  <sheetFormatPr defaultRowHeight="14.25"/>
  <cols>
    <col min="2" max="2" width="9" hidden="1" customWidth="1"/>
    <col min="3" max="3" width="39.625" style="12" hidden="1" customWidth="1"/>
    <col min="4" max="4" width="39.625" style="12" customWidth="1"/>
    <col min="5" max="5" width="123.625" style="305" customWidth="1"/>
  </cols>
  <sheetData>
    <row r="1" spans="1:11" ht="27.6" customHeight="1">
      <c r="A1" s="74" t="s">
        <v>1663</v>
      </c>
      <c r="B1" s="107"/>
      <c r="C1" s="107"/>
      <c r="D1" s="107"/>
      <c r="E1" s="107"/>
      <c r="F1" s="107"/>
      <c r="G1" s="107"/>
      <c r="H1" s="107"/>
      <c r="I1" s="107"/>
      <c r="J1" s="107"/>
      <c r="K1" s="107"/>
    </row>
    <row r="2" spans="1:11" ht="9.75" customHeight="1" thickBot="1">
      <c r="C2"/>
      <c r="D2"/>
      <c r="E2"/>
    </row>
    <row r="3" spans="1:11" ht="52.5" customHeight="1">
      <c r="B3" t="s">
        <v>4344</v>
      </c>
      <c r="C3" s="301" t="s">
        <v>3914</v>
      </c>
      <c r="D3" s="301" t="s">
        <v>1664</v>
      </c>
      <c r="E3" s="302" t="s">
        <v>1665</v>
      </c>
    </row>
    <row r="4" spans="1:11" ht="54.75" customHeight="1">
      <c r="B4" t="s">
        <v>3886</v>
      </c>
      <c r="C4" s="303" t="s">
        <v>985</v>
      </c>
      <c r="D4" s="303" t="str">
        <f>_xlfn.XLOOKUP(C4,IndustryFactors_v1.4!A:A,IndustryFactors_v1.4!B:B,,0)</f>
        <v>Accounting, Tax Preparation, Bookkeeping, and Payroll Services</v>
      </c>
      <c r="E4" s="304" t="s">
        <v>984</v>
      </c>
    </row>
    <row r="5" spans="1:11" ht="74.25" customHeight="1">
      <c r="B5" t="s">
        <v>3892</v>
      </c>
      <c r="C5" s="303" t="s">
        <v>1651</v>
      </c>
      <c r="D5" s="303" t="str">
        <f>_xlfn.XLOOKUP(C5,IndustryFactors_v1.4!A:A,IndustryFactors_v1.4!B:B,,0)</f>
        <v>Advertising, Public Relations, and Related Services</v>
      </c>
      <c r="E5" s="304" t="s">
        <v>1688</v>
      </c>
    </row>
    <row r="6" spans="1:11" ht="74.25" customHeight="1">
      <c r="B6" t="s">
        <v>3829</v>
      </c>
      <c r="C6" s="303" t="s">
        <v>802</v>
      </c>
      <c r="D6" s="303" t="str">
        <f>_xlfn.XLOOKUP(C6,IndustryFactors_v1.4!A:A,IndustryFactors_v1.4!B:B,,0)</f>
        <v>Aerospace Product and Parts Manufacturing</v>
      </c>
      <c r="E6" s="304" t="s">
        <v>801</v>
      </c>
    </row>
    <row r="7" spans="1:11" ht="46.5" customHeight="1">
      <c r="B7" t="s">
        <v>3879</v>
      </c>
      <c r="C7" s="303" t="s">
        <v>960</v>
      </c>
      <c r="D7" s="303" t="str">
        <f>_xlfn.XLOOKUP(C7,IndustryFactors_v1.4!A:A,IndustryFactors_v1.4!B:B,,0)</f>
        <v>Agencies, Brokerages, and Other Insurance Related Activities</v>
      </c>
      <c r="E7" s="304" t="s">
        <v>959</v>
      </c>
    </row>
    <row r="8" spans="1:11" ht="30">
      <c r="B8" t="s">
        <v>3809</v>
      </c>
      <c r="C8" s="303" t="s">
        <v>681</v>
      </c>
      <c r="D8" s="303" t="str">
        <f>_xlfn.XLOOKUP(C8,IndustryFactors_v1.4!A:A,IndustryFactors_v1.4!B:B,,0)</f>
        <v>Agriculture, Construction, and Mining Machinery Manufacturing</v>
      </c>
      <c r="E8" s="304" t="s">
        <v>680</v>
      </c>
    </row>
    <row r="9" spans="1:11" ht="81.75" customHeight="1">
      <c r="B9" t="s">
        <v>3797</v>
      </c>
      <c r="C9" s="303" t="s">
        <v>626</v>
      </c>
      <c r="D9" s="303" t="str">
        <f>_xlfn.XLOOKUP(C9,IndustryFactors_v1.4!A:A,IndustryFactors_v1.4!B:B,,0)</f>
        <v>Alumina and Aluminum Production and Processing</v>
      </c>
      <c r="E9" s="304" t="s">
        <v>625</v>
      </c>
    </row>
    <row r="10" spans="1:11" ht="66.75" customHeight="1">
      <c r="B10" t="s">
        <v>3756</v>
      </c>
      <c r="C10" s="303" t="s">
        <v>441</v>
      </c>
      <c r="D10" s="303" t="str">
        <f>_xlfn.XLOOKUP(C10,IndustryFactors_v1.4!A:A,IndustryFactors_v1.4!B:B,,0)</f>
        <v>Animal Food Manufacturing</v>
      </c>
      <c r="E10" s="304" t="s">
        <v>439</v>
      </c>
    </row>
    <row r="11" spans="1:11" ht="92.25" customHeight="1">
      <c r="B11" t="s">
        <v>3761</v>
      </c>
      <c r="C11" s="303" t="s">
        <v>466</v>
      </c>
      <c r="D11" s="303" t="str">
        <f>_xlfn.XLOOKUP(C11,IndustryFactors_v1.4!A:A,IndustryFactors_v1.4!B:B,,0)</f>
        <v>Animal Slaughtering and Processing</v>
      </c>
      <c r="E11" s="304" t="s">
        <v>468</v>
      </c>
    </row>
    <row r="12" spans="1:11" ht="76.5">
      <c r="B12" t="s">
        <v>3772</v>
      </c>
      <c r="C12" s="303" t="s">
        <v>511</v>
      </c>
      <c r="D12" s="303" t="str">
        <f>_xlfn.XLOOKUP(C12,IndustryFactors_v1.4!A:A,IndustryFactors_v1.4!B:B,,0)</f>
        <v>Apparel Knitting Mills</v>
      </c>
      <c r="E12" s="304" t="s">
        <v>510</v>
      </c>
    </row>
    <row r="13" spans="1:11" ht="30">
      <c r="B13" t="s">
        <v>3802</v>
      </c>
      <c r="C13" s="303" t="s">
        <v>649</v>
      </c>
      <c r="D13" s="303" t="str">
        <f>_xlfn.XLOOKUP(C13,IndustryFactors_v1.4!A:A,IndustryFactors_v1.4!B:B,,0)</f>
        <v>Architectural and Structural Metals Manufacturing</v>
      </c>
      <c r="E13" s="304" t="s">
        <v>648</v>
      </c>
    </row>
    <row r="14" spans="1:11" ht="38.25">
      <c r="B14" t="s">
        <v>3887</v>
      </c>
      <c r="C14" s="303" t="s">
        <v>988</v>
      </c>
      <c r="D14" s="303" t="str">
        <f>_xlfn.XLOOKUP(C14,IndustryFactors_v1.4!A:A,IndustryFactors_v1.4!B:B,,0)</f>
        <v>Architectural, Engineering, and Related Services</v>
      </c>
      <c r="E14" s="304" t="s">
        <v>987</v>
      </c>
    </row>
    <row r="15" spans="1:11" ht="51">
      <c r="B15" t="s">
        <v>3818</v>
      </c>
      <c r="C15" s="303" t="s">
        <v>736</v>
      </c>
      <c r="D15" s="303" t="str">
        <f>_xlfn.XLOOKUP(C15,IndustryFactors_v1.4!A:A,IndustryFactors_v1.4!B:B,,0)</f>
        <v>Audio and Video Equipment Manufacturing</v>
      </c>
      <c r="E15" s="304" t="s">
        <v>735</v>
      </c>
    </row>
    <row r="16" spans="1:11" ht="76.5">
      <c r="B16" t="s">
        <v>3846</v>
      </c>
      <c r="C16" s="303" t="s">
        <v>883</v>
      </c>
      <c r="D16" s="303" t="str">
        <f>_xlfn.XLOOKUP(C16,IndustryFactors_v1.4!A:A,IndustryFactors_v1.4!B:B,,0)</f>
        <v>Automobile Dealers</v>
      </c>
      <c r="E16" s="304" t="s">
        <v>881</v>
      </c>
    </row>
    <row r="17" spans="2:5" ht="26.45" customHeight="1">
      <c r="B17" t="s">
        <v>3881</v>
      </c>
      <c r="C17" s="303" t="s">
        <v>970</v>
      </c>
      <c r="D17" s="303" t="str">
        <f>_xlfn.XLOOKUP(C17,IndustryFactors_v1.4!A:A,IndustryFactors_v1.4!B:B,,0)</f>
        <v>Automotive Equipment Rental and Leasing</v>
      </c>
      <c r="E17" s="304" t="s">
        <v>969</v>
      </c>
    </row>
    <row r="18" spans="2:5" ht="38.25">
      <c r="B18" t="s">
        <v>3909</v>
      </c>
      <c r="C18" s="303" t="s">
        <v>1099</v>
      </c>
      <c r="D18" s="303" t="str">
        <f>_xlfn.XLOOKUP(C18,IndustryFactors_v1.4!A:A,IndustryFactors_v1.4!B:B,,0)</f>
        <v>Automotive Repair and Maintenance</v>
      </c>
      <c r="E18" s="304" t="s">
        <v>1097</v>
      </c>
    </row>
    <row r="19" spans="2:5" ht="30" customHeight="1">
      <c r="B19" t="s">
        <v>3763</v>
      </c>
      <c r="C19" s="303" t="s">
        <v>474</v>
      </c>
      <c r="D19" s="303" t="str">
        <f>_xlfn.XLOOKUP(C19,IndustryFactors_v1.4!A:A,IndustryFactors_v1.4!B:B,,0)</f>
        <v>Bakeries and Tortilla Manufacturing</v>
      </c>
      <c r="E19" s="304" t="s">
        <v>473</v>
      </c>
    </row>
    <row r="20" spans="2:5" ht="69.75" customHeight="1">
      <c r="B20" t="s">
        <v>3781</v>
      </c>
      <c r="C20" s="303" t="s">
        <v>550</v>
      </c>
      <c r="D20" s="303" t="str">
        <f>_xlfn.XLOOKUP(C20,IndustryFactors_v1.4!A:A,IndustryFactors_v1.4!B:B,,0)</f>
        <v>Basic Chemical Manufacturing</v>
      </c>
      <c r="E20" s="304" t="s">
        <v>549</v>
      </c>
    </row>
    <row r="21" spans="2:5" ht="55.5" customHeight="1">
      <c r="B21" t="s">
        <v>3765</v>
      </c>
      <c r="C21" s="303" t="s">
        <v>486</v>
      </c>
      <c r="D21" s="303" t="str">
        <f>_xlfn.XLOOKUP(C21,IndustryFactors_v1.4!A:A,IndustryFactors_v1.4!B:B,,0)</f>
        <v>Beverage Manufacturing</v>
      </c>
      <c r="E21" s="304" t="s">
        <v>485</v>
      </c>
    </row>
    <row r="22" spans="2:5" ht="33.75" customHeight="1">
      <c r="B22" t="s">
        <v>3803</v>
      </c>
      <c r="C22" s="303" t="s">
        <v>653</v>
      </c>
      <c r="D22" s="303" t="str">
        <f>_xlfn.XLOOKUP(C22,IndustryFactors_v1.4!A:A,IndustryFactors_v1.4!B:B,,0)</f>
        <v>Boiler, Tank, and Shipping Container Manufacturing</v>
      </c>
      <c r="E22" s="304" t="s">
        <v>652</v>
      </c>
    </row>
    <row r="23" spans="2:5" ht="43.5" customHeight="1">
      <c r="B23" t="s">
        <v>3847</v>
      </c>
      <c r="C23" s="303" t="s">
        <v>887</v>
      </c>
      <c r="D23" s="303" t="str">
        <f>_xlfn.XLOOKUP(C23,IndustryFactors_v1.4!A:A,IndustryFactors_v1.4!B:B,,0)</f>
        <v>Building Material and Supplies Dealers</v>
      </c>
      <c r="E23" s="304" t="s">
        <v>1669</v>
      </c>
    </row>
    <row r="24" spans="2:5" ht="44.25" customHeight="1">
      <c r="B24" t="s">
        <v>3898</v>
      </c>
      <c r="C24" s="303" t="s">
        <v>1016</v>
      </c>
      <c r="D24" s="303" t="str">
        <f>_xlfn.XLOOKUP(C24,IndustryFactors_v1.4!A:A,IndustryFactors_v1.4!B:B,,0)</f>
        <v>Business Support Services</v>
      </c>
      <c r="E24" s="304" t="s">
        <v>1015</v>
      </c>
    </row>
    <row r="25" spans="2:5" ht="56.25" customHeight="1">
      <c r="B25" t="s">
        <v>3868</v>
      </c>
      <c r="C25" s="303" t="s">
        <v>924</v>
      </c>
      <c r="D25" s="303" t="str">
        <f>_xlfn.XLOOKUP(C25,IndustryFactors_v1.4!A:A,IndustryFactors_v1.4!B:B,,0)</f>
        <v>Cable and Other Subscription Programming</v>
      </c>
      <c r="E25" s="304" t="s">
        <v>923</v>
      </c>
    </row>
    <row r="26" spans="2:5" ht="69.75" customHeight="1">
      <c r="B26" t="s">
        <v>3740</v>
      </c>
      <c r="C26" s="303" t="s">
        <v>350</v>
      </c>
      <c r="D26" s="303" t="str">
        <f>_xlfn.XLOOKUP(C26,IndustryFactors_v1.4!A:A,IndustryFactors_v1.4!B:B,,0)</f>
        <v>Cattle Ranching and Farming</v>
      </c>
      <c r="E26" s="304" t="s">
        <v>352</v>
      </c>
    </row>
    <row r="27" spans="2:5" ht="46.5" customHeight="1">
      <c r="B27" t="s">
        <v>3792</v>
      </c>
      <c r="C27" s="303" t="s">
        <v>604</v>
      </c>
      <c r="D27" s="303" t="str">
        <f>_xlfn.XLOOKUP(C27,IndustryFactors_v1.4!A:A,IndustryFactors_v1.4!B:B,,0)</f>
        <v>Cement and Concrete Product Manufacturing</v>
      </c>
      <c r="E27" s="304" t="s">
        <v>603</v>
      </c>
    </row>
    <row r="28" spans="2:5" ht="68.25" customHeight="1">
      <c r="B28" t="s">
        <v>3790</v>
      </c>
      <c r="C28" s="303" t="s">
        <v>598</v>
      </c>
      <c r="D28" s="303" t="str">
        <f>_xlfn.XLOOKUP(C28,IndustryFactors_v1.4!A:A,IndustryFactors_v1.4!B:B,,0)</f>
        <v>Clay Product and Refractory Manufacturing</v>
      </c>
      <c r="E28" s="304" t="s">
        <v>597</v>
      </c>
    </row>
    <row r="29" spans="2:5" ht="54.75" customHeight="1">
      <c r="B29" t="s">
        <v>3851</v>
      </c>
      <c r="C29" s="303" t="s">
        <v>896</v>
      </c>
      <c r="D29" s="303" t="str">
        <f>_xlfn.XLOOKUP(C29,IndustryFactors_v1.4!A:A,IndustryFactors_v1.4!B:B,,0)</f>
        <v>Clothing Stores</v>
      </c>
      <c r="E29" s="304" t="s">
        <v>1672</v>
      </c>
    </row>
    <row r="30" spans="2:5" ht="43.5" customHeight="1">
      <c r="B30" t="s">
        <v>3746</v>
      </c>
      <c r="C30" s="303" t="s">
        <v>374</v>
      </c>
      <c r="D30" s="303" t="str">
        <f>_xlfn.XLOOKUP(C30,IndustryFactors_v1.4!A:A,IndustryFactors_v1.4!B:B,,0)</f>
        <v>Coal Mining</v>
      </c>
      <c r="E30" s="304" t="s">
        <v>373</v>
      </c>
    </row>
    <row r="31" spans="2:5" ht="59.25" customHeight="1">
      <c r="B31" t="s">
        <v>3807</v>
      </c>
      <c r="C31" s="303" t="s">
        <v>668</v>
      </c>
      <c r="D31" s="303" t="str">
        <f>_xlfn.XLOOKUP(C31,IndustryFactors_v1.4!A:A,IndustryFactors_v1.4!B:B,,0)</f>
        <v>Coating, Engraving, Heat Treating, and Allied Activities</v>
      </c>
      <c r="E31" s="304" t="s">
        <v>667</v>
      </c>
    </row>
    <row r="32" spans="2:5" ht="60" customHeight="1">
      <c r="B32" t="s">
        <v>1032</v>
      </c>
      <c r="C32" s="303" t="s">
        <v>1032</v>
      </c>
      <c r="D32" s="303" t="str">
        <f>_xlfn.XLOOKUP(C32,IndustryFactors_v1.4!A:A,IndustryFactors_v1.4!B:B,,0)</f>
        <v>Colleges, universities, junior colleges, and professional schools</v>
      </c>
      <c r="E32" s="304" t="s">
        <v>1692</v>
      </c>
    </row>
    <row r="33" spans="2:5" ht="89.25">
      <c r="B33" t="s">
        <v>3883</v>
      </c>
      <c r="C33" s="303" t="s">
        <v>975</v>
      </c>
      <c r="D33" s="303" t="str">
        <f>_xlfn.XLOOKUP(C33,IndustryFactors_v1.4!A:A,IndustryFactors_v1.4!B:B,,0)</f>
        <v>Commercial and Industrial Machinery and Equipment Rental and Leasing</v>
      </c>
      <c r="E33" s="304" t="s">
        <v>1685</v>
      </c>
    </row>
    <row r="34" spans="2:5" ht="38.25">
      <c r="B34" t="s">
        <v>3811</v>
      </c>
      <c r="C34" s="303" t="s">
        <v>692</v>
      </c>
      <c r="D34" s="303" t="str">
        <f>_xlfn.XLOOKUP(C34,IndustryFactors_v1.4!A:A,IndustryFactors_v1.4!B:B,,0)</f>
        <v>Commercial and Service Industry Machinery Manufacturing</v>
      </c>
      <c r="E34" s="304" t="s">
        <v>691</v>
      </c>
    </row>
    <row r="35" spans="2:5" ht="60" customHeight="1">
      <c r="B35" t="s">
        <v>3817</v>
      </c>
      <c r="C35" s="303" t="s">
        <v>731</v>
      </c>
      <c r="D35" s="303" t="str">
        <f>_xlfn.XLOOKUP(C35,IndustryFactors_v1.4!A:A,IndustryFactors_v1.4!B:B,,0)</f>
        <v>Communications Equipment Manufacturing</v>
      </c>
      <c r="E35" s="304" t="s">
        <v>730</v>
      </c>
    </row>
    <row r="36" spans="2:5" ht="48" customHeight="1">
      <c r="B36" t="s">
        <v>3816</v>
      </c>
      <c r="C36" s="303" t="s">
        <v>726</v>
      </c>
      <c r="D36" s="303" t="str">
        <f>_xlfn.XLOOKUP(C36,IndustryFactors_v1.4!A:A,IndustryFactors_v1.4!B:B,,0)</f>
        <v>Computer and Peripheral Equipment Manufacturing</v>
      </c>
      <c r="E36" s="304" t="s">
        <v>725</v>
      </c>
    </row>
    <row r="37" spans="2:5" ht="46.5" customHeight="1">
      <c r="B37" t="s">
        <v>3889</v>
      </c>
      <c r="C37" s="303" t="s">
        <v>994</v>
      </c>
      <c r="D37" s="303" t="str">
        <f>_xlfn.XLOOKUP(C37,IndustryFactors_v1.4!A:A,IndustryFactors_v1.4!B:B,,0)</f>
        <v>Computer Systems Design and Related Services</v>
      </c>
      <c r="E37" s="304" t="s">
        <v>993</v>
      </c>
    </row>
    <row r="38" spans="2:5" ht="33.75" customHeight="1">
      <c r="B38" t="s">
        <v>3882</v>
      </c>
      <c r="C38" s="303" t="s">
        <v>973</v>
      </c>
      <c r="D38" s="303" t="str">
        <f>_xlfn.XLOOKUP(C38,IndustryFactors_v1.4!A:A,IndustryFactors_v1.4!B:B,,0)</f>
        <v>Consumer Goods Rental</v>
      </c>
      <c r="E38" s="304" t="s">
        <v>1684</v>
      </c>
    </row>
    <row r="39" spans="2:5" ht="72" customHeight="1">
      <c r="B39" t="s">
        <v>3778</v>
      </c>
      <c r="C39" s="303" t="s">
        <v>533</v>
      </c>
      <c r="D39" s="303" t="str">
        <f>_xlfn.XLOOKUP(C39,IndustryFactors_v1.4!A:A,IndustryFactors_v1.4!B:B,,0)</f>
        <v>Converted Paper Product Manufacturing</v>
      </c>
      <c r="E39" s="304" t="s">
        <v>532</v>
      </c>
    </row>
    <row r="40" spans="2:5" ht="56.25" customHeight="1">
      <c r="B40" t="s">
        <v>3861</v>
      </c>
      <c r="C40" s="303" t="s">
        <v>1647</v>
      </c>
      <c r="D40" s="303" t="str">
        <f>_xlfn.XLOOKUP(C40,IndustryFactors_v1.4!A:A,IndustryFactors_v1.4!B:B,,0)</f>
        <v>Couriers and Express Delivery Services</v>
      </c>
      <c r="E40" s="304" t="s">
        <v>1677</v>
      </c>
    </row>
    <row r="41" spans="2:5" ht="43.5" customHeight="1">
      <c r="B41" t="s">
        <v>3801</v>
      </c>
      <c r="C41" s="303" t="s">
        <v>646</v>
      </c>
      <c r="D41" s="303" t="str">
        <f>_xlfn.XLOOKUP(C41,IndustryFactors_v1.4!A:A,IndustryFactors_v1.4!B:B,,0)</f>
        <v>Cutlery and Handtool Manufacturing</v>
      </c>
      <c r="E41" s="304" t="s">
        <v>645</v>
      </c>
    </row>
    <row r="42" spans="2:5" ht="68.25" customHeight="1">
      <c r="B42" t="s">
        <v>3760</v>
      </c>
      <c r="C42" s="303" t="s">
        <v>459</v>
      </c>
      <c r="D42" s="303" t="str">
        <f>_xlfn.XLOOKUP(C42,IndustryFactors_v1.4!A:A,IndustryFactors_v1.4!B:B,,0)</f>
        <v>Dairy Product Manufacturing</v>
      </c>
      <c r="E42" s="304" t="s">
        <v>461</v>
      </c>
    </row>
    <row r="43" spans="2:5" ht="48" customHeight="1">
      <c r="B43" t="s">
        <v>3872</v>
      </c>
      <c r="C43" s="303" t="s">
        <v>935</v>
      </c>
      <c r="D43" s="303" t="str">
        <f>_xlfn.XLOOKUP(C43,IndustryFactors_v1.4!A:A,IndustryFactors_v1.4!B:B,,0)</f>
        <v>Data Processing, Hosting, and Related Services</v>
      </c>
      <c r="E43" s="304" t="s">
        <v>934</v>
      </c>
    </row>
    <row r="44" spans="2:5" ht="101.25" customHeight="1">
      <c r="B44" t="s">
        <v>3856</v>
      </c>
      <c r="C44" s="303" t="s">
        <v>1642</v>
      </c>
      <c r="D44" s="303" t="str">
        <f>_xlfn.XLOOKUP(C44,IndustryFactors_v1.4!A:A,IndustryFactors_v1.4!B:B,,0)</f>
        <v>Deep Sea, Coastal, and Great Lakes Water Transportation</v>
      </c>
      <c r="E44" s="304" t="s">
        <v>1362</v>
      </c>
    </row>
    <row r="45" spans="2:5" ht="38.25">
      <c r="B45" t="s">
        <v>3842</v>
      </c>
      <c r="C45" s="303" t="s">
        <v>870</v>
      </c>
      <c r="D45" s="303" t="str">
        <f>_xlfn.XLOOKUP(C45,IndustryFactors_v1.4!A:A,IndustryFactors_v1.4!B:B,,0)</f>
        <v>Drugs and Druggists Sundries Merchant Wholesalers</v>
      </c>
      <c r="E45" s="304" t="s">
        <v>869</v>
      </c>
    </row>
    <row r="46" spans="2:5" ht="35.25" customHeight="1">
      <c r="B46" t="s">
        <v>3822</v>
      </c>
      <c r="C46" s="303" t="s">
        <v>760</v>
      </c>
      <c r="D46" s="303" t="str">
        <f>_xlfn.XLOOKUP(C46,IndustryFactors_v1.4!A:A,IndustryFactors_v1.4!B:B,,0)</f>
        <v>Electric Lighting Equipment Manufacturing</v>
      </c>
      <c r="E46" s="304" t="s">
        <v>759</v>
      </c>
    </row>
    <row r="47" spans="2:5" ht="61.5" customHeight="1">
      <c r="B47" t="s">
        <v>3824</v>
      </c>
      <c r="C47" s="303" t="s">
        <v>767</v>
      </c>
      <c r="D47" s="303" t="str">
        <f>_xlfn.XLOOKUP(C47,IndustryFactors_v1.4!A:A,IndustryFactors_v1.4!B:B,,0)</f>
        <v>Electrical Equipment Manufacturing</v>
      </c>
      <c r="E47" s="304" t="s">
        <v>766</v>
      </c>
    </row>
    <row r="48" spans="2:5" ht="61.5" customHeight="1">
      <c r="B48" t="s">
        <v>3910</v>
      </c>
      <c r="C48" s="303" t="s">
        <v>1102</v>
      </c>
      <c r="D48" s="303" t="str">
        <f>_xlfn.XLOOKUP(C48,IndustryFactors_v1.4!A:A,IndustryFactors_v1.4!B:B,,0)</f>
        <v>Electronic and Precision Equipment Repair and Maintenance</v>
      </c>
      <c r="E48" s="304" t="s">
        <v>1101</v>
      </c>
    </row>
    <row r="49" spans="2:5" ht="72" customHeight="1">
      <c r="B49" t="s">
        <v>3853</v>
      </c>
      <c r="C49" s="303" t="s">
        <v>901</v>
      </c>
      <c r="D49" s="303" t="str">
        <f>_xlfn.XLOOKUP(C49,IndustryFactors_v1.4!A:A,IndustryFactors_v1.4!B:B,,0)</f>
        <v>Electronic Shopping and Mail-Order Houses</v>
      </c>
      <c r="E49" s="304" t="s">
        <v>1673</v>
      </c>
    </row>
    <row r="50" spans="2:5" ht="50.25" customHeight="1">
      <c r="B50" t="s">
        <v>3903</v>
      </c>
      <c r="C50" s="303" t="s">
        <v>1031</v>
      </c>
      <c r="D50" s="303" t="str">
        <f>_xlfn.XLOOKUP(C50,IndustryFactors_v1.4!A:A,IndustryFactors_v1.4!B:B,,0)</f>
        <v>Elementary and Secondary Schools</v>
      </c>
      <c r="E50" s="304" t="s">
        <v>1029</v>
      </c>
    </row>
    <row r="51" spans="2:5" ht="25.5">
      <c r="B51" t="s">
        <v>3897</v>
      </c>
      <c r="C51" s="303" t="s">
        <v>1013</v>
      </c>
      <c r="D51" s="303" t="str">
        <f>_xlfn.XLOOKUP(C51,IndustryFactors_v1.4!A:A,IndustryFactors_v1.4!B:B,,0)</f>
        <v>Employment Services</v>
      </c>
      <c r="E51" s="304" t="s">
        <v>1012</v>
      </c>
    </row>
    <row r="52" spans="2:5" ht="30">
      <c r="B52" t="s">
        <v>3814</v>
      </c>
      <c r="C52" s="303" t="s">
        <v>709</v>
      </c>
      <c r="D52" s="303" t="str">
        <f>_xlfn.XLOOKUP(C52,IndustryFactors_v1.4!A:A,IndustryFactors_v1.4!B:B,,0)</f>
        <v>Engine, Turbine, and Power Transmission Equipment Manufacturing</v>
      </c>
      <c r="E52" s="304" t="s">
        <v>708</v>
      </c>
    </row>
    <row r="53" spans="2:5" ht="44.25" customHeight="1">
      <c r="B53" t="s">
        <v>3768</v>
      </c>
      <c r="C53" s="303" t="s">
        <v>498</v>
      </c>
      <c r="D53" s="303" t="str">
        <f>_xlfn.XLOOKUP(C53,IndustryFactors_v1.4!A:A,IndustryFactors_v1.4!B:B,,0)</f>
        <v>Fabric Mills</v>
      </c>
      <c r="E53" s="304" t="s">
        <v>497</v>
      </c>
    </row>
    <row r="54" spans="2:5" ht="76.5">
      <c r="B54" t="s">
        <v>3896</v>
      </c>
      <c r="C54" s="303" t="s">
        <v>1010</v>
      </c>
      <c r="D54" s="303" t="str">
        <f>_xlfn.XLOOKUP(C54,IndustryFactors_v1.4!A:A,IndustryFactors_v1.4!B:B,,0)</f>
        <v>Facilities Support Services</v>
      </c>
      <c r="E54" s="304" t="s">
        <v>1009</v>
      </c>
    </row>
    <row r="55" spans="2:5" ht="56.25" customHeight="1">
      <c r="B55" t="s">
        <v>3767</v>
      </c>
      <c r="C55" s="303" t="s">
        <v>495</v>
      </c>
      <c r="D55" s="303" t="str">
        <f>_xlfn.XLOOKUP(C55,IndustryFactors_v1.4!A:A,IndustryFactors_v1.4!B:B,,0)</f>
        <v>Fiber, Yarn, and Thread Mills</v>
      </c>
      <c r="E55" s="304" t="s">
        <v>494</v>
      </c>
    </row>
    <row r="56" spans="2:5" ht="63.75">
      <c r="B56" t="s">
        <v>89</v>
      </c>
      <c r="C56" s="303" t="s">
        <v>364</v>
      </c>
      <c r="D56" s="303" t="str">
        <f>_xlfn.XLOOKUP(C56,IndustryFactors_v1.4!A:A,IndustryFactors_v1.4!B:B,,0)</f>
        <v>Fishing</v>
      </c>
      <c r="E56" s="304" t="s">
        <v>363</v>
      </c>
    </row>
    <row r="57" spans="2:5" ht="69.75" customHeight="1">
      <c r="B57" t="s">
        <v>3800</v>
      </c>
      <c r="C57" s="303" t="s">
        <v>640</v>
      </c>
      <c r="D57" s="303" t="str">
        <f>_xlfn.XLOOKUP(C57,IndustryFactors_v1.4!A:A,IndustryFactors_v1.4!B:B,,0)</f>
        <v>Forging and Stamping</v>
      </c>
      <c r="E57" s="304" t="s">
        <v>642</v>
      </c>
    </row>
    <row r="58" spans="2:5" ht="25.5">
      <c r="B58" t="s">
        <v>3799</v>
      </c>
      <c r="C58" s="303" t="s">
        <v>636</v>
      </c>
      <c r="D58" s="303" t="str">
        <f>_xlfn.XLOOKUP(C58,IndustryFactors_v1.4!A:A,IndustryFactors_v1.4!B:B,,0)</f>
        <v>Foundries</v>
      </c>
      <c r="E58" s="304" t="s">
        <v>635</v>
      </c>
    </row>
    <row r="59" spans="2:5" ht="25.5">
      <c r="B59" t="s">
        <v>3737</v>
      </c>
      <c r="C59" s="303" t="s">
        <v>341</v>
      </c>
      <c r="D59" s="303" t="str">
        <f>_xlfn.XLOOKUP(C59,IndustryFactors_v1.4!A:A,IndustryFactors_v1.4!B:B,,0)</f>
        <v>Fruit and Tree Nut Farming</v>
      </c>
      <c r="E59" s="304" t="s">
        <v>340</v>
      </c>
    </row>
    <row r="60" spans="2:5" ht="38.25">
      <c r="B60" t="s">
        <v>3759</v>
      </c>
      <c r="C60" s="303" t="s">
        <v>455</v>
      </c>
      <c r="D60" s="303" t="str">
        <f>_xlfn.XLOOKUP(C60,IndustryFactors_v1.4!A:A,IndustryFactors_v1.4!B:B,,0)</f>
        <v>Fruit and Vegetable Preserving and Specialty Food Manufacturing</v>
      </c>
      <c r="E60" s="304" t="s">
        <v>454</v>
      </c>
    </row>
    <row r="61" spans="2:5" ht="58.5" customHeight="1">
      <c r="B61" t="s">
        <v>3850</v>
      </c>
      <c r="C61" s="303" t="s">
        <v>894</v>
      </c>
      <c r="D61" s="303" t="str">
        <f>_xlfn.XLOOKUP(C61,IndustryFactors_v1.4!A:A,IndustryFactors_v1.4!B:B,,0)</f>
        <v>Gasoline Stations</v>
      </c>
      <c r="E61" s="304" t="s">
        <v>1671</v>
      </c>
    </row>
    <row r="62" spans="2:5" ht="60" customHeight="1">
      <c r="B62" t="s">
        <v>3857</v>
      </c>
      <c r="C62" s="303" t="s">
        <v>1643</v>
      </c>
      <c r="D62" s="303" t="str">
        <f>_xlfn.XLOOKUP(C62,IndustryFactors_v1.4!A:A,IndustryFactors_v1.4!B:B,,0)</f>
        <v>General Freight Trucking</v>
      </c>
      <c r="E62" s="304" t="s">
        <v>1674</v>
      </c>
    </row>
    <row r="63" spans="2:5" ht="57.75" customHeight="1">
      <c r="B63" t="s">
        <v>3852</v>
      </c>
      <c r="C63" s="303" t="s">
        <v>899</v>
      </c>
      <c r="D63" s="303" t="str">
        <f>_xlfn.XLOOKUP(C63,IndustryFactors_v1.4!A:A,IndustryFactors_v1.4!B:B,,0)</f>
        <v>General Merchandise Stores, including Warehouse Clubs and Supercenters</v>
      </c>
      <c r="E63" s="304" t="s">
        <v>898</v>
      </c>
    </row>
    <row r="64" spans="2:5" ht="54.75" customHeight="1">
      <c r="B64" t="s">
        <v>3791</v>
      </c>
      <c r="C64" s="303" t="s">
        <v>601</v>
      </c>
      <c r="D64" s="303" t="str">
        <f>_xlfn.XLOOKUP(C64,IndustryFactors_v1.4!A:A,IndustryFactors_v1.4!B:B,,0)</f>
        <v>Glass and Glass Product Manufacturing</v>
      </c>
      <c r="E64" s="304" t="s">
        <v>600</v>
      </c>
    </row>
    <row r="65" spans="2:5" ht="44.25" customHeight="1">
      <c r="B65" t="s">
        <v>3757</v>
      </c>
      <c r="C65" s="303" t="s">
        <v>445</v>
      </c>
      <c r="D65" s="303" t="str">
        <f>_xlfn.XLOOKUP(C65,IndustryFactors_v1.4!A:A,IndustryFactors_v1.4!B:B,,0)</f>
        <v>Grain and Oilseed Milling</v>
      </c>
      <c r="E65" s="304" t="s">
        <v>444</v>
      </c>
    </row>
    <row r="66" spans="2:5" ht="51">
      <c r="B66" t="s">
        <v>3738</v>
      </c>
      <c r="C66" s="303" t="s">
        <v>344</v>
      </c>
      <c r="D66" s="303" t="str">
        <f>_xlfn.XLOOKUP(C66,IndustryFactors_v1.4!A:A,IndustryFactors_v1.4!B:B,,0)</f>
        <v>Greenhouse, Nursery, and Floriculture Production</v>
      </c>
      <c r="E66" s="304" t="s">
        <v>343</v>
      </c>
    </row>
    <row r="67" spans="2:5" ht="98.25" customHeight="1">
      <c r="B67" t="s">
        <v>3843</v>
      </c>
      <c r="C67" s="303" t="s">
        <v>873</v>
      </c>
      <c r="D67" s="303" t="str">
        <f>_xlfn.XLOOKUP(C67,IndustryFactors_v1.4!A:A,IndustryFactors_v1.4!B:B,,0)</f>
        <v>Grocery and Related Product Merchant Wholesalers</v>
      </c>
      <c r="E67" s="304" t="s">
        <v>872</v>
      </c>
    </row>
    <row r="68" spans="2:5" ht="38.25">
      <c r="B68" t="s">
        <v>3848</v>
      </c>
      <c r="C68" s="303" t="s">
        <v>890</v>
      </c>
      <c r="D68" s="303" t="str">
        <f>_xlfn.XLOOKUP(C68,IndustryFactors_v1.4!A:A,IndustryFactors_v1.4!B:B,,0)</f>
        <v>Grocery Stores</v>
      </c>
      <c r="E68" s="304" t="s">
        <v>889</v>
      </c>
    </row>
    <row r="69" spans="2:5" ht="58.5" customHeight="1">
      <c r="B69" t="s">
        <v>3804</v>
      </c>
      <c r="C69" s="303" t="s">
        <v>658</v>
      </c>
      <c r="D69" s="303" t="str">
        <f>_xlfn.XLOOKUP(C69,IndustryFactors_v1.4!A:A,IndustryFactors_v1.4!B:B,,0)</f>
        <v>Hardware Manufacturing</v>
      </c>
      <c r="E69" s="304" t="s">
        <v>657</v>
      </c>
    </row>
    <row r="70" spans="2:5" ht="58.5" customHeight="1">
      <c r="B70" t="s">
        <v>3849</v>
      </c>
      <c r="C70" s="303" t="s">
        <v>892</v>
      </c>
      <c r="D70" s="303" t="str">
        <f>_xlfn.XLOOKUP(C70,IndustryFactors_v1.4!A:A,IndustryFactors_v1.4!B:B,,0)</f>
        <v>Health and Personal Care Stores</v>
      </c>
      <c r="E70" s="304" t="s">
        <v>1670</v>
      </c>
    </row>
    <row r="71" spans="2:5" ht="30">
      <c r="B71" t="s">
        <v>3755</v>
      </c>
      <c r="C71" s="303" t="s">
        <v>1639</v>
      </c>
      <c r="D71" s="303" t="str">
        <f>_xlfn.XLOOKUP(C71,IndustryFactors_v1.4!A:A,IndustryFactors_v1.4!B:B,,0)</f>
        <v>Highway, Street, and Bridge Construction</v>
      </c>
      <c r="E71" s="304" t="s">
        <v>1668</v>
      </c>
    </row>
    <row r="72" spans="2:5" ht="45">
      <c r="B72" t="s">
        <v>3833</v>
      </c>
      <c r="C72" s="303" t="s">
        <v>822</v>
      </c>
      <c r="D72" s="303" t="str">
        <f>_xlfn.XLOOKUP(C72,IndustryFactors_v1.4!A:A,IndustryFactors_v1.4!B:B,,0)</f>
        <v>Household and Institutional Furniture and Kitchen Cabinet Manufacturing</v>
      </c>
      <c r="E72" s="304" t="s">
        <v>821</v>
      </c>
    </row>
    <row r="73" spans="2:5" ht="25.5">
      <c r="B73" t="s">
        <v>3823</v>
      </c>
      <c r="C73" s="303" t="s">
        <v>764</v>
      </c>
      <c r="D73" s="303" t="str">
        <f>_xlfn.XLOOKUP(C73,IndustryFactors_v1.4!A:A,IndustryFactors_v1.4!B:B,,0)</f>
        <v>Household Appliance Manufacturing</v>
      </c>
      <c r="E73" s="304" t="s">
        <v>763</v>
      </c>
    </row>
    <row r="74" spans="2:5" ht="45">
      <c r="B74" t="s">
        <v>3840</v>
      </c>
      <c r="C74" s="303" t="s">
        <v>862</v>
      </c>
      <c r="D74" s="303" t="str">
        <f>_xlfn.XLOOKUP(C74,IndustryFactors_v1.4!A:A,IndustryFactors_v1.4!B:B,,0)</f>
        <v>Household Appliances and Electrical and Electronic Goods Merchant Wholesalers</v>
      </c>
      <c r="E74" s="304" t="s">
        <v>861</v>
      </c>
    </row>
    <row r="75" spans="2:5" ht="25.5">
      <c r="B75" t="s">
        <v>3810</v>
      </c>
      <c r="C75" s="303" t="s">
        <v>687</v>
      </c>
      <c r="D75" s="303" t="str">
        <f>_xlfn.XLOOKUP(C75,IndustryFactors_v1.4!A:A,IndustryFactors_v1.4!B:B,,0)</f>
        <v>Industrial Machinery Manufacturing</v>
      </c>
      <c r="E75" s="304" t="s">
        <v>689</v>
      </c>
    </row>
    <row r="76" spans="2:5" ht="70.5" customHeight="1">
      <c r="B76" t="s">
        <v>3880</v>
      </c>
      <c r="C76" s="303" t="s">
        <v>963</v>
      </c>
      <c r="D76" s="303" t="str">
        <f>_xlfn.XLOOKUP(C76,IndustryFactors_v1.4!A:A,IndustryFactors_v1.4!B:B,,0)</f>
        <v>Insurance and Employee Benefit Funds</v>
      </c>
      <c r="E76" s="304" t="s">
        <v>962</v>
      </c>
    </row>
    <row r="77" spans="2:5" ht="35.25" customHeight="1">
      <c r="B77" t="s">
        <v>3878</v>
      </c>
      <c r="C77" s="303" t="s">
        <v>957</v>
      </c>
      <c r="D77" s="303" t="str">
        <f>_xlfn.XLOOKUP(C77,IndustryFactors_v1.4!A:A,IndustryFactors_v1.4!B:B,,0)</f>
        <v>Insurance Carriers</v>
      </c>
      <c r="E77" s="304" t="s">
        <v>1683</v>
      </c>
    </row>
    <row r="78" spans="2:5" ht="15">
      <c r="B78" t="s">
        <v>3900</v>
      </c>
      <c r="C78" s="303" t="s">
        <v>1021</v>
      </c>
      <c r="D78" s="303" t="str">
        <f>_xlfn.XLOOKUP(C78,IndustryFactors_v1.4!A:A,IndustryFactors_v1.4!B:B,,0)</f>
        <v>Investigation and Security Services</v>
      </c>
      <c r="E78" s="304" t="s">
        <v>1020</v>
      </c>
    </row>
    <row r="79" spans="2:5" ht="70.5" customHeight="1">
      <c r="B79" t="s">
        <v>3795</v>
      </c>
      <c r="C79" s="303" t="s">
        <v>620</v>
      </c>
      <c r="D79" s="303" t="str">
        <f>_xlfn.XLOOKUP(C79,IndustryFactors_v1.4!A:A,IndustryFactors_v1.4!B:B,,0)</f>
        <v>Iron and Steel Mills and Ferroalloy Manufacturing</v>
      </c>
      <c r="E79" s="304" t="s">
        <v>619</v>
      </c>
    </row>
    <row r="80" spans="2:5" ht="43.5" customHeight="1">
      <c r="B80" t="s">
        <v>3773</v>
      </c>
      <c r="C80" s="303" t="s">
        <v>514</v>
      </c>
      <c r="D80" s="303" t="str">
        <f>_xlfn.XLOOKUP(C80,IndustryFactors_v1.4!A:A,IndustryFactors_v1.4!B:B,,0)</f>
        <v>Leather and Hide Tanning and Finishing</v>
      </c>
      <c r="E80" s="304" t="s">
        <v>513</v>
      </c>
    </row>
    <row r="81" spans="2:5" ht="72.75" customHeight="1">
      <c r="B81" t="s">
        <v>3885</v>
      </c>
      <c r="C81" s="303" t="s">
        <v>982</v>
      </c>
      <c r="D81" s="303" t="str">
        <f>_xlfn.XLOOKUP(C81,IndustryFactors_v1.4!A:A,IndustryFactors_v1.4!B:B,,0)</f>
        <v>Legal Services</v>
      </c>
      <c r="E81" s="304" t="s">
        <v>980</v>
      </c>
    </row>
    <row r="82" spans="2:5" ht="94.5" customHeight="1">
      <c r="B82" t="s">
        <v>3884</v>
      </c>
      <c r="C82" s="303" t="s">
        <v>978</v>
      </c>
      <c r="D82" s="303" t="str">
        <f>_xlfn.XLOOKUP(C82,IndustryFactors_v1.4!A:A,IndustryFactors_v1.4!B:B,,0)</f>
        <v>Lessors of Nonfinancial Intangible Assets (except Copyrighted Works)</v>
      </c>
      <c r="E82" s="304" t="s">
        <v>977</v>
      </c>
    </row>
    <row r="83" spans="2:5" ht="63.75">
      <c r="B83" t="s">
        <v>3315</v>
      </c>
      <c r="C83" s="303" t="s">
        <v>3315</v>
      </c>
      <c r="D83" s="303" t="s">
        <v>3315</v>
      </c>
      <c r="E83" s="304" t="s">
        <v>3499</v>
      </c>
    </row>
    <row r="84" spans="2:5" ht="30">
      <c r="B84" t="s">
        <v>3793</v>
      </c>
      <c r="C84" s="303" t="s">
        <v>610</v>
      </c>
      <c r="D84" s="303" t="str">
        <f>_xlfn.XLOOKUP(C84,IndustryFactors_v1.4!A:A,IndustryFactors_v1.4!B:B,,0)</f>
        <v>Lime and Gypsum Product Manufacturing</v>
      </c>
      <c r="E84" s="304" t="s">
        <v>609</v>
      </c>
    </row>
    <row r="85" spans="2:5" ht="38.25">
      <c r="B85" t="s">
        <v>3806</v>
      </c>
      <c r="C85" s="303" t="s">
        <v>664</v>
      </c>
      <c r="D85" s="303" t="str">
        <f>_xlfn.XLOOKUP(C85,IndustryFactors_v1.4!A:A,IndustryFactors_v1.4!B:B,,0)</f>
        <v>Machine Shops; Turned Product; and Screw, Nut, and Bolt Manufacturing</v>
      </c>
      <c r="E85" s="304" t="s">
        <v>663</v>
      </c>
    </row>
    <row r="86" spans="2:5" ht="30">
      <c r="B86" t="s">
        <v>3841</v>
      </c>
      <c r="C86" s="303" t="s">
        <v>865</v>
      </c>
      <c r="D86" s="303" t="str">
        <f>_xlfn.XLOOKUP(C86,IndustryFactors_v1.4!A:A,IndustryFactors_v1.4!B:B,,0)</f>
        <v>Machinery, Equipment, and Supplies Merchant Wholesalers</v>
      </c>
      <c r="E86" s="304" t="s">
        <v>864</v>
      </c>
    </row>
    <row r="87" spans="2:5" ht="114.75">
      <c r="B87" t="s">
        <v>3894</v>
      </c>
      <c r="C87" s="303" t="s">
        <v>1653</v>
      </c>
      <c r="D87" s="303" t="str">
        <f>_xlfn.XLOOKUP(C87,IndustryFactors_v1.4!A:A,IndustryFactors_v1.4!B:B,,0)</f>
        <v>Management of Companies and Enterprises</v>
      </c>
      <c r="E87" s="304" t="s">
        <v>1690</v>
      </c>
    </row>
    <row r="88" spans="2:5" ht="38.25">
      <c r="B88" t="s">
        <v>3890</v>
      </c>
      <c r="C88" s="303" t="s">
        <v>1649</v>
      </c>
      <c r="D88" s="303" t="str">
        <f>_xlfn.XLOOKUP(C88,IndustryFactors_v1.4!A:A,IndustryFactors_v1.4!B:B,,0)</f>
        <v>Management, Scientific, and Technical Consulting Services</v>
      </c>
      <c r="E88" s="304" t="s">
        <v>1686</v>
      </c>
    </row>
    <row r="89" spans="2:5" ht="38.25">
      <c r="B89" t="s">
        <v>3821</v>
      </c>
      <c r="C89" s="303" t="s">
        <v>757</v>
      </c>
      <c r="D89" s="303" t="str">
        <f>_xlfn.XLOOKUP(C89,IndustryFactors_v1.4!A:A,IndustryFactors_v1.4!B:B,,0)</f>
        <v>Manufacturing and Reproducing Magnetic and Optical Media</v>
      </c>
      <c r="E89" s="304" t="s">
        <v>756</v>
      </c>
    </row>
    <row r="90" spans="2:5" ht="38.25">
      <c r="B90" t="s">
        <v>3836</v>
      </c>
      <c r="C90" s="303" t="s">
        <v>838</v>
      </c>
      <c r="D90" s="303" t="str">
        <f>_xlfn.XLOOKUP(C90,IndustryFactors_v1.4!A:A,IndustryFactors_v1.4!B:B,,0)</f>
        <v>Medical Equipment and Supplies Manufacturing</v>
      </c>
      <c r="E90" s="304" t="s">
        <v>837</v>
      </c>
    </row>
    <row r="91" spans="2:5" ht="25.5">
      <c r="B91" t="s">
        <v>3747</v>
      </c>
      <c r="C91" s="303" t="s">
        <v>377</v>
      </c>
      <c r="D91" s="303" t="str">
        <f>_xlfn.XLOOKUP(C91,IndustryFactors_v1.4!A:A,IndustryFactors_v1.4!B:B,,0)</f>
        <v>Metal Ore Mining</v>
      </c>
      <c r="E91" s="304" t="s">
        <v>379</v>
      </c>
    </row>
    <row r="92" spans="2:5" ht="30">
      <c r="B92" t="s">
        <v>3813</v>
      </c>
      <c r="C92" s="303" t="s">
        <v>702</v>
      </c>
      <c r="D92" s="303" t="str">
        <f>_xlfn.XLOOKUP(C92,IndustryFactors_v1.4!A:A,IndustryFactors_v1.4!B:B,,0)</f>
        <v>Metalworking Machinery Manufacturing</v>
      </c>
      <c r="E92" s="304" t="s">
        <v>701</v>
      </c>
    </row>
    <row r="93" spans="2:5" ht="409.5">
      <c r="B93" t="s">
        <v>3874</v>
      </c>
      <c r="C93" s="303" t="s">
        <v>944</v>
      </c>
      <c r="D93" s="303" t="str">
        <f>_xlfn.XLOOKUP(C93,IndustryFactors_v1.4!A:A,IndustryFactors_v1.4!B:B,,0)</f>
        <v>Monetary Authorities-Central Bank</v>
      </c>
      <c r="E93" s="304" t="s">
        <v>1680</v>
      </c>
    </row>
    <row r="94" spans="2:5" ht="38.25">
      <c r="B94" t="s">
        <v>3865</v>
      </c>
      <c r="C94" s="303" t="s">
        <v>915</v>
      </c>
      <c r="D94" s="303" t="str">
        <f>_xlfn.XLOOKUP(C94,IndustryFactors_v1.4!A:A,IndustryFactors_v1.4!B:B,,0)</f>
        <v>Motion Picture and Video Industries</v>
      </c>
      <c r="E94" s="304" t="s">
        <v>914</v>
      </c>
    </row>
    <row r="95" spans="2:5" ht="30">
      <c r="B95" t="s">
        <v>3838</v>
      </c>
      <c r="C95" s="303" t="s">
        <v>854</v>
      </c>
      <c r="D95" s="303" t="str">
        <f>_xlfn.XLOOKUP(C95,IndustryFactors_v1.4!A:A,IndustryFactors_v1.4!B:B,,0)</f>
        <v>Motor Vehicle and Motor Vehicle Parts and Supplies Merchant Wholesalers</v>
      </c>
      <c r="E95" s="304" t="s">
        <v>852</v>
      </c>
    </row>
    <row r="96" spans="2:5" ht="30">
      <c r="B96" t="s">
        <v>3827</v>
      </c>
      <c r="C96" s="303" t="s">
        <v>786</v>
      </c>
      <c r="D96" s="303" t="str">
        <f>_xlfn.XLOOKUP(C96,IndustryFactors_v1.4!A:A,IndustryFactors_v1.4!B:B,,0)</f>
        <v>Motor Vehicle Body and Trailer Manufacturing</v>
      </c>
      <c r="E96" s="304" t="s">
        <v>785</v>
      </c>
    </row>
    <row r="97" spans="2:5" ht="25.5">
      <c r="B97" t="s">
        <v>3826</v>
      </c>
      <c r="C97" s="303" t="s">
        <v>781</v>
      </c>
      <c r="D97" s="303" t="str">
        <f>_xlfn.XLOOKUP(C97,IndustryFactors_v1.4!A:A,IndustryFactors_v1.4!B:B,,0)</f>
        <v>Motor Vehicle Manufacturing</v>
      </c>
      <c r="E97" s="304" t="s">
        <v>780</v>
      </c>
    </row>
    <row r="98" spans="2:5" ht="25.5">
      <c r="B98" t="s">
        <v>3828</v>
      </c>
      <c r="C98" s="303" t="s">
        <v>792</v>
      </c>
      <c r="D98" s="303" t="str">
        <f>_xlfn.XLOOKUP(C98,IndustryFactors_v1.4!A:A,IndustryFactors_v1.4!B:B,,0)</f>
        <v>Motor Vehicle Parts Manufacturing</v>
      </c>
      <c r="E98" s="304" t="s">
        <v>791</v>
      </c>
    </row>
    <row r="99" spans="2:5" ht="38.25">
      <c r="B99" t="s">
        <v>3750</v>
      </c>
      <c r="C99" s="303" t="s">
        <v>392</v>
      </c>
      <c r="D99" s="303" t="str">
        <f>_xlfn.XLOOKUP(C99,IndustryFactors_v1.4!A:A,IndustryFactors_v1.4!B:B,,0)</f>
        <v>Natural Gas Distribution</v>
      </c>
      <c r="E99" s="304" t="s">
        <v>390</v>
      </c>
    </row>
    <row r="100" spans="2:5" ht="45">
      <c r="B100" t="s">
        <v>3820</v>
      </c>
      <c r="C100" s="303" t="s">
        <v>745</v>
      </c>
      <c r="D100" s="303" t="str">
        <f>_xlfn.XLOOKUP(C100,IndustryFactors_v1.4!A:A,IndustryFactors_v1.4!B:B,,0)</f>
        <v>Navigational, Measuring, Electromedical, and Control Instruments Manufacturing</v>
      </c>
      <c r="E100" s="304" t="s">
        <v>744</v>
      </c>
    </row>
    <row r="101" spans="2:5" ht="38.25">
      <c r="B101" t="s">
        <v>3863</v>
      </c>
      <c r="C101" s="303" t="s">
        <v>905</v>
      </c>
      <c r="D101" s="303" t="str">
        <f>_xlfn.XLOOKUP(C101,IndustryFactors_v1.4!A:A,IndustryFactors_v1.4!B:B,,0)</f>
        <v>Newspaper, Periodical, Book, and Directory Publishers</v>
      </c>
      <c r="E101" s="304" t="s">
        <v>903</v>
      </c>
    </row>
    <row r="102" spans="2:5" ht="38.25">
      <c r="B102" t="s">
        <v>3875</v>
      </c>
      <c r="C102" s="303" t="s">
        <v>947</v>
      </c>
      <c r="D102" s="303" t="str">
        <f>_xlfn.XLOOKUP(C102,IndustryFactors_v1.4!A:A,IndustryFactors_v1.4!B:B,,0)</f>
        <v>Nondepository Credit Intermediation</v>
      </c>
      <c r="E102" s="304" t="s">
        <v>1681</v>
      </c>
    </row>
    <row r="103" spans="2:5" ht="30">
      <c r="B103" t="s">
        <v>3798</v>
      </c>
      <c r="C103" s="303" t="s">
        <v>631</v>
      </c>
      <c r="D103" s="303" t="str">
        <f>_xlfn.XLOOKUP(C103,IndustryFactors_v1.4!A:A,IndustryFactors_v1.4!B:B,,0)</f>
        <v>Nonferrous Metal (except Aluminum) Production and Processing</v>
      </c>
      <c r="E103" s="304" t="s">
        <v>630</v>
      </c>
    </row>
    <row r="104" spans="2:5" ht="38.25">
      <c r="B104" t="s">
        <v>3748</v>
      </c>
      <c r="C104" s="303" t="s">
        <v>382</v>
      </c>
      <c r="D104" s="303" t="str">
        <f>_xlfn.XLOOKUP(C104,IndustryFactors_v1.4!A:A,IndustryFactors_v1.4!B:B,,0)</f>
        <v>Nonmetallic Mineral Mining and Quarrying</v>
      </c>
      <c r="E104" s="304" t="s">
        <v>381</v>
      </c>
    </row>
    <row r="105" spans="2:5" ht="63.75">
      <c r="B105" t="s">
        <v>3753</v>
      </c>
      <c r="C105" s="303" t="s">
        <v>403</v>
      </c>
      <c r="D105" s="303" t="str">
        <f>_xlfn.XLOOKUP(C105,IndustryFactors_v1.4!A:A,IndustryFactors_v1.4!B:B,,0)</f>
        <v>Nonresidential Building Construction</v>
      </c>
      <c r="E105" s="304" t="s">
        <v>412</v>
      </c>
    </row>
    <row r="106" spans="2:5" ht="38.25">
      <c r="B106" t="s">
        <v>3895</v>
      </c>
      <c r="C106" s="303" t="s">
        <v>1007</v>
      </c>
      <c r="D106" s="303" t="str">
        <f>_xlfn.XLOOKUP(C106,IndustryFactors_v1.4!A:A,IndustryFactors_v1.4!B:B,,0)</f>
        <v>Office Administrative Services</v>
      </c>
      <c r="E106" s="304" t="s">
        <v>1005</v>
      </c>
    </row>
    <row r="107" spans="2:5" ht="30">
      <c r="B107" t="s">
        <v>3834</v>
      </c>
      <c r="C107" s="303" t="s">
        <v>830</v>
      </c>
      <c r="D107" s="303" t="str">
        <f>_xlfn.XLOOKUP(C107,IndustryFactors_v1.4!A:A,IndustryFactors_v1.4!B:B,,0)</f>
        <v>Office Furniture (including Fixtures) Manufacturing</v>
      </c>
      <c r="E107" s="304" t="s">
        <v>832</v>
      </c>
    </row>
    <row r="108" spans="2:5" ht="51">
      <c r="B108" t="s">
        <v>3905</v>
      </c>
      <c r="C108" s="303" t="s">
        <v>1042</v>
      </c>
      <c r="D108" s="303" t="str">
        <f>_xlfn.XLOOKUP(C108,IndustryFactors_v1.4!A:A,IndustryFactors_v1.4!B:B,,0)</f>
        <v>Offices of Dentists</v>
      </c>
      <c r="E108" s="304" t="s">
        <v>1041</v>
      </c>
    </row>
    <row r="109" spans="2:5" ht="15">
      <c r="B109" t="s">
        <v>3906</v>
      </c>
      <c r="C109" s="303" t="s">
        <v>1045</v>
      </c>
      <c r="D109" s="303" t="str">
        <f>_xlfn.XLOOKUP(C109,IndustryFactors_v1.4!A:A,IndustryFactors_v1.4!B:B,,0)</f>
        <v>Offices of Other Health Practitioners</v>
      </c>
      <c r="E109" s="304" t="s">
        <v>1044</v>
      </c>
    </row>
    <row r="110" spans="2:5" ht="38.25">
      <c r="B110" t="s">
        <v>3904</v>
      </c>
      <c r="C110" s="303" t="s">
        <v>1039</v>
      </c>
      <c r="D110" s="303" t="str">
        <f>_xlfn.XLOOKUP(C110,IndustryFactors_v1.4!A:A,IndustryFactors_v1.4!B:B,,0)</f>
        <v>Offices of Physicians</v>
      </c>
      <c r="E110" s="304" t="s">
        <v>1037</v>
      </c>
    </row>
    <row r="111" spans="2:5" ht="102">
      <c r="B111" t="s">
        <v>3745</v>
      </c>
      <c r="C111" s="303" t="s">
        <v>372</v>
      </c>
      <c r="D111" s="303" t="str">
        <f>_xlfn.XLOOKUP(C111,IndustryFactors_v1.4!A:A,IndustryFactors_v1.4!B:B,,0)</f>
        <v>Oil and Gas Extraction</v>
      </c>
      <c r="E111" s="304" t="s">
        <v>370</v>
      </c>
    </row>
    <row r="112" spans="2:5" ht="25.5">
      <c r="B112" t="s">
        <v>3735</v>
      </c>
      <c r="C112" s="303" t="s">
        <v>333</v>
      </c>
      <c r="D112" s="303" t="str">
        <f>_xlfn.XLOOKUP(C112,IndustryFactors_v1.4!A:A,IndustryFactors_v1.4!B:B,,0)</f>
        <v>Oilseed and Grain Farming</v>
      </c>
      <c r="E112" s="304" t="s">
        <v>1666</v>
      </c>
    </row>
    <row r="113" spans="2:5" ht="114.75">
      <c r="B113" t="s">
        <v>3742</v>
      </c>
      <c r="C113" s="303" t="s">
        <v>355</v>
      </c>
      <c r="D113" s="303" t="str">
        <f>_xlfn.XLOOKUP(C113,IndustryFactors_v1.4!A:A,IndustryFactors_v1.4!B:B,,0)</f>
        <v>Other Animal Production</v>
      </c>
      <c r="E113" s="304" t="s">
        <v>1667</v>
      </c>
    </row>
    <row r="114" spans="2:5" ht="30">
      <c r="B114" t="s">
        <v>3787</v>
      </c>
      <c r="C114" s="303" t="s">
        <v>579</v>
      </c>
      <c r="D114" s="303" t="str">
        <f>_xlfn.XLOOKUP(C114,IndustryFactors_v1.4!A:A,IndustryFactors_v1.4!B:B,,0)</f>
        <v>Other Chemical Product and Preparation Manufacturing</v>
      </c>
      <c r="E114" s="304" t="s">
        <v>578</v>
      </c>
    </row>
    <row r="115" spans="2:5" ht="51">
      <c r="B115" t="s">
        <v>3739</v>
      </c>
      <c r="C115" s="303" t="s">
        <v>347</v>
      </c>
      <c r="D115" s="303" t="str">
        <f>_xlfn.XLOOKUP(C115,IndustryFactors_v1.4!A:A,IndustryFactors_v1.4!B:B,,0)</f>
        <v>Other Crop Farming</v>
      </c>
      <c r="E115" s="304" t="s">
        <v>346</v>
      </c>
    </row>
    <row r="116" spans="2:5" ht="191.25">
      <c r="B116" t="s">
        <v>855</v>
      </c>
      <c r="C116" s="303" t="s">
        <v>855</v>
      </c>
      <c r="D116" s="303" t="s">
        <v>855</v>
      </c>
      <c r="E116" s="304" t="s">
        <v>3559</v>
      </c>
    </row>
    <row r="117" spans="2:5" ht="102">
      <c r="B117" t="s">
        <v>1034</v>
      </c>
      <c r="C117" s="303" t="s">
        <v>1034</v>
      </c>
      <c r="D117" s="303" t="s">
        <v>1034</v>
      </c>
      <c r="E117" s="304" t="s">
        <v>3381</v>
      </c>
    </row>
    <row r="118" spans="2:5" ht="30">
      <c r="B118" t="s">
        <v>3825</v>
      </c>
      <c r="C118" s="303" t="s">
        <v>773</v>
      </c>
      <c r="D118" s="303" t="str">
        <f>_xlfn.XLOOKUP(C118,IndustryFactors_v1.4!A:A,IndustryFactors_v1.4!B:B,,0)</f>
        <v>Other Electrical Equipment and Component Manufacturing</v>
      </c>
      <c r="E118" s="304" t="s">
        <v>772</v>
      </c>
    </row>
    <row r="119" spans="2:5" ht="30">
      <c r="B119" t="s">
        <v>3808</v>
      </c>
      <c r="C119" s="303" t="s">
        <v>671</v>
      </c>
      <c r="D119" s="303" t="str">
        <f>_xlfn.XLOOKUP(C119,IndustryFactors_v1.4!A:A,IndustryFactors_v1.4!B:B,,0)</f>
        <v>Other Fabricated Metal Product Manufacturing</v>
      </c>
      <c r="E119" s="304" t="s">
        <v>673</v>
      </c>
    </row>
    <row r="120" spans="2:5" ht="51">
      <c r="B120" t="s">
        <v>3877</v>
      </c>
      <c r="C120" s="303" t="s">
        <v>953</v>
      </c>
      <c r="D120" s="303" t="str">
        <f>_xlfn.XLOOKUP(C120,IndustryFactors_v1.4!A:A,IndustryFactors_v1.4!B:B,,0)</f>
        <v>Other Financial Investment Activities</v>
      </c>
      <c r="E120" s="304" t="s">
        <v>952</v>
      </c>
    </row>
    <row r="121" spans="2:5" ht="51">
      <c r="B121" t="s">
        <v>3764</v>
      </c>
      <c r="C121" s="303" t="s">
        <v>479</v>
      </c>
      <c r="D121" s="303" t="str">
        <f>_xlfn.XLOOKUP(C121,IndustryFactors_v1.4!A:A,IndustryFactors_v1.4!B:B,,0)</f>
        <v>Other Food Manufacturing</v>
      </c>
      <c r="E121" s="304" t="s">
        <v>478</v>
      </c>
    </row>
    <row r="122" spans="2:5" ht="30">
      <c r="B122" t="s">
        <v>3835</v>
      </c>
      <c r="C122" s="303" t="s">
        <v>835</v>
      </c>
      <c r="D122" s="303" t="str">
        <f>_xlfn.XLOOKUP(C122,IndustryFactors_v1.4!A:A,IndustryFactors_v1.4!B:B,,0)</f>
        <v>Other Furniture Related Product Manufacturing</v>
      </c>
      <c r="E122" s="304" t="s">
        <v>834</v>
      </c>
    </row>
    <row r="123" spans="2:5" ht="38.25">
      <c r="B123" t="s">
        <v>3815</v>
      </c>
      <c r="C123" s="303" t="s">
        <v>715</v>
      </c>
      <c r="D123" s="303" t="str">
        <f>_xlfn.XLOOKUP(C123,IndustryFactors_v1.4!A:A,IndustryFactors_v1.4!B:B,,0)</f>
        <v>Other General Purpose Machinery Manufacturing</v>
      </c>
      <c r="E123" s="304" t="s">
        <v>714</v>
      </c>
    </row>
    <row r="124" spans="2:5" ht="76.5">
      <c r="B124" t="s">
        <v>3873</v>
      </c>
      <c r="C124" s="303" t="s">
        <v>938</v>
      </c>
      <c r="D124" s="303" t="str">
        <f>_xlfn.XLOOKUP(C124,IndustryFactors_v1.4!A:A,IndustryFactors_v1.4!B:B,,0)</f>
        <v>Other Information Services</v>
      </c>
      <c r="E124" s="304" t="s">
        <v>940</v>
      </c>
    </row>
    <row r="125" spans="2:5" ht="76.5">
      <c r="B125" t="s">
        <v>3837</v>
      </c>
      <c r="C125" s="303" t="s">
        <v>845</v>
      </c>
      <c r="D125" s="303" t="str">
        <f>_xlfn.XLOOKUP(C125,IndustryFactors_v1.4!A:A,IndustryFactors_v1.4!B:B,,0)</f>
        <v>Other Miscellaneous Manufacturing</v>
      </c>
      <c r="E125" s="304" t="s">
        <v>844</v>
      </c>
    </row>
    <row r="126" spans="2:5" ht="51">
      <c r="B126" t="s">
        <v>866</v>
      </c>
      <c r="C126" s="303" t="s">
        <v>866</v>
      </c>
      <c r="D126" s="303" t="s">
        <v>866</v>
      </c>
      <c r="E126" s="304" t="s">
        <v>3562</v>
      </c>
    </row>
    <row r="127" spans="2:5" ht="30">
      <c r="B127" t="s">
        <v>3794</v>
      </c>
      <c r="C127" s="303" t="s">
        <v>613</v>
      </c>
      <c r="D127" s="303" t="str">
        <f>_xlfn.XLOOKUP(C127,IndustryFactors_v1.4!A:A,IndustryFactors_v1.4!B:B,,0)</f>
        <v>Other Nonmetallic Mineral Product Manufacturing</v>
      </c>
      <c r="E127" s="304" t="s">
        <v>612</v>
      </c>
    </row>
    <row r="128" spans="2:5" ht="51">
      <c r="B128" t="s">
        <v>3859</v>
      </c>
      <c r="C128" s="303" t="s">
        <v>1645</v>
      </c>
      <c r="D128" s="303" t="str">
        <f>_xlfn.XLOOKUP(C128,IndustryFactors_v1.4!A:A,IndustryFactors_v1.4!B:B,,0)</f>
        <v>Other Pipeline Transportation</v>
      </c>
      <c r="E128" s="304" t="s">
        <v>1675</v>
      </c>
    </row>
    <row r="129" spans="2:5" ht="38.25">
      <c r="B129" t="s">
        <v>3893</v>
      </c>
      <c r="C129" s="303" t="s">
        <v>1652</v>
      </c>
      <c r="D129" s="303" t="str">
        <f>_xlfn.XLOOKUP(C129,IndustryFactors_v1.4!A:A,IndustryFactors_v1.4!B:B,,0)</f>
        <v>Other Professional, Scientific, and Technical Services</v>
      </c>
      <c r="E129" s="304" t="s">
        <v>1689</v>
      </c>
    </row>
    <row r="130" spans="2:5" ht="140.25">
      <c r="B130" t="s">
        <v>966</v>
      </c>
      <c r="C130" s="303" t="s">
        <v>966</v>
      </c>
      <c r="D130" s="303" t="s">
        <v>966</v>
      </c>
      <c r="E130" s="304" t="s">
        <v>3396</v>
      </c>
    </row>
    <row r="131" spans="2:5" ht="38.25">
      <c r="B131" t="s">
        <v>884</v>
      </c>
      <c r="C131" s="303" t="s">
        <v>884</v>
      </c>
      <c r="D131" s="303" t="s">
        <v>884</v>
      </c>
      <c r="E131" s="304" t="s">
        <v>3567</v>
      </c>
    </row>
    <row r="132" spans="2:5" ht="38.25">
      <c r="B132" t="s">
        <v>3902</v>
      </c>
      <c r="C132" s="303" t="s">
        <v>1027</v>
      </c>
      <c r="D132" s="303" t="str">
        <f>_xlfn.XLOOKUP(C132,IndustryFactors_v1.4!A:A,IndustryFactors_v1.4!B:B,,0)</f>
        <v>Other Support Services</v>
      </c>
      <c r="E132" s="304" t="s">
        <v>1026</v>
      </c>
    </row>
    <row r="133" spans="2:5" ht="114.75">
      <c r="B133" t="s">
        <v>3871</v>
      </c>
      <c r="C133" s="303" t="s">
        <v>932</v>
      </c>
      <c r="D133" s="303" t="str">
        <f>_xlfn.XLOOKUP(C133,IndustryFactors_v1.4!A:A,IndustryFactors_v1.4!B:B,,0)</f>
        <v>Other Telecommunications</v>
      </c>
      <c r="E133" s="304" t="s">
        <v>1679</v>
      </c>
    </row>
    <row r="134" spans="2:5" ht="25.5">
      <c r="B134" t="s">
        <v>3771</v>
      </c>
      <c r="C134" s="303" t="s">
        <v>508</v>
      </c>
      <c r="D134" s="303" t="str">
        <f>_xlfn.XLOOKUP(C134,IndustryFactors_v1.4!A:A,IndustryFactors_v1.4!B:B,,0)</f>
        <v>Other Textile Product Mills</v>
      </c>
      <c r="E134" s="304" t="s">
        <v>507</v>
      </c>
    </row>
    <row r="135" spans="2:5" ht="102">
      <c r="B135" t="s">
        <v>3858</v>
      </c>
      <c r="C135" s="303" t="s">
        <v>1644</v>
      </c>
      <c r="D135" s="303" t="str">
        <f>_xlfn.XLOOKUP(C135,IndustryFactors_v1.4!A:A,IndustryFactors_v1.4!B:B,,0)</f>
        <v>Other Transit and Ground Passenger Transportation</v>
      </c>
      <c r="E135" s="304" t="s">
        <v>1364</v>
      </c>
    </row>
    <row r="136" spans="2:5" ht="30">
      <c r="B136" t="s">
        <v>3832</v>
      </c>
      <c r="C136" s="303" t="s">
        <v>817</v>
      </c>
      <c r="D136" s="303" t="str">
        <f>_xlfn.XLOOKUP(C136,IndustryFactors_v1.4!A:A,IndustryFactors_v1.4!B:B,,0)</f>
        <v>Other Transportation Equipment Manufacturing</v>
      </c>
      <c r="E136" s="304" t="s">
        <v>816</v>
      </c>
    </row>
    <row r="137" spans="2:5" ht="38.25">
      <c r="B137" t="s">
        <v>3776</v>
      </c>
      <c r="C137" s="303" t="s">
        <v>523</v>
      </c>
      <c r="D137" s="303" t="str">
        <f>_xlfn.XLOOKUP(C137,IndustryFactors_v1.4!A:A,IndustryFactors_v1.4!B:B,,0)</f>
        <v>Other Wood Product Manufacturing</v>
      </c>
      <c r="E137" s="304" t="s">
        <v>522</v>
      </c>
    </row>
    <row r="138" spans="2:5" ht="38.25">
      <c r="B138" t="s">
        <v>3907</v>
      </c>
      <c r="C138" s="303" t="s">
        <v>1048</v>
      </c>
      <c r="D138" s="303" t="str">
        <f>_xlfn.XLOOKUP(C138,IndustryFactors_v1.4!A:A,IndustryFactors_v1.4!B:B,,0)</f>
        <v>Outpatient Care Centers</v>
      </c>
      <c r="E138" s="304" t="s">
        <v>1047</v>
      </c>
    </row>
    <row r="139" spans="2:5" ht="38.25">
      <c r="B139" t="s">
        <v>3785</v>
      </c>
      <c r="C139" s="303" t="s">
        <v>571</v>
      </c>
      <c r="D139" s="303" t="str">
        <f>_xlfn.XLOOKUP(C139,IndustryFactors_v1.4!A:A,IndustryFactors_v1.4!B:B,,0)</f>
        <v>Paint, Coating, and Adhesive Manufacturing</v>
      </c>
      <c r="E139" s="304" t="s">
        <v>570</v>
      </c>
    </row>
    <row r="140" spans="2:5" ht="30">
      <c r="B140" t="s">
        <v>3783</v>
      </c>
      <c r="C140" s="303" t="s">
        <v>561</v>
      </c>
      <c r="D140" s="303" t="str">
        <f>_xlfn.XLOOKUP(C140,IndustryFactors_v1.4!A:A,IndustryFactors_v1.4!B:B,,0)</f>
        <v>Pesticide, Fertilizer, and Other Agricultural Chemical Manufacturing</v>
      </c>
      <c r="E140" s="304" t="s">
        <v>560</v>
      </c>
    </row>
    <row r="141" spans="2:5" ht="30">
      <c r="B141" t="s">
        <v>3780</v>
      </c>
      <c r="C141" s="303" t="s">
        <v>544</v>
      </c>
      <c r="D141" s="303" t="str">
        <f>_xlfn.XLOOKUP(C141,IndustryFactors_v1.4!A:A,IndustryFactors_v1.4!B:B,,0)</f>
        <v>Petroleum and Coal Products Manufacturing</v>
      </c>
      <c r="E141" s="304" t="s">
        <v>543</v>
      </c>
    </row>
    <row r="142" spans="2:5" ht="30">
      <c r="B142" t="s">
        <v>3844</v>
      </c>
      <c r="C142" s="303" t="s">
        <v>876</v>
      </c>
      <c r="D142" s="303" t="str">
        <f>_xlfn.XLOOKUP(C142,IndustryFactors_v1.4!A:A,IndustryFactors_v1.4!B:B,,0)</f>
        <v>Petroleum and Petroleum Products Merchant Wholesalers</v>
      </c>
      <c r="E142" s="304" t="s">
        <v>875</v>
      </c>
    </row>
    <row r="143" spans="2:5" ht="30">
      <c r="B143" t="s">
        <v>3784</v>
      </c>
      <c r="C143" s="303" t="s">
        <v>565</v>
      </c>
      <c r="D143" s="303" t="str">
        <f>_xlfn.XLOOKUP(C143,IndustryFactors_v1.4!A:A,IndustryFactors_v1.4!B:B,,0)</f>
        <v>Pharmaceutical and Medicine Manufacturing</v>
      </c>
      <c r="E143" s="304" t="s">
        <v>564</v>
      </c>
    </row>
    <row r="144" spans="2:5" ht="25.5">
      <c r="B144" t="s">
        <v>3788</v>
      </c>
      <c r="C144" s="303" t="s">
        <v>584</v>
      </c>
      <c r="D144" s="303" t="str">
        <f>_xlfn.XLOOKUP(C144,IndustryFactors_v1.4!A:A,IndustryFactors_v1.4!B:B,,0)</f>
        <v>Plastics Product Manufacturing</v>
      </c>
      <c r="E144" s="304" t="s">
        <v>583</v>
      </c>
    </row>
    <row r="145" spans="2:5" ht="114.75">
      <c r="B145" t="s">
        <v>3860</v>
      </c>
      <c r="C145" s="303" t="s">
        <v>1646</v>
      </c>
      <c r="D145" s="303" t="str">
        <f>_xlfn.XLOOKUP(C145,IndustryFactors_v1.4!A:A,IndustryFactors_v1.4!B:B,,0)</f>
        <v>Postal Service</v>
      </c>
      <c r="E145" s="304" t="s">
        <v>1676</v>
      </c>
    </row>
    <row r="146" spans="2:5" ht="15">
      <c r="B146" t="s">
        <v>3741</v>
      </c>
      <c r="C146" s="303" t="s">
        <v>358</v>
      </c>
      <c r="D146" s="303" t="str">
        <f>_xlfn.XLOOKUP(C146,IndustryFactors_v1.4!A:A,IndustryFactors_v1.4!B:B,,0)</f>
        <v>Poultry and Egg Production</v>
      </c>
      <c r="E146" s="304" t="s">
        <v>357</v>
      </c>
    </row>
    <row r="147" spans="2:5" ht="51">
      <c r="B147" t="s">
        <v>3779</v>
      </c>
      <c r="C147" s="303" t="s">
        <v>540</v>
      </c>
      <c r="D147" s="303" t="str">
        <f>_xlfn.XLOOKUP(C147,IndustryFactors_v1.4!A:A,IndustryFactors_v1.4!B:B,,0)</f>
        <v>Printing and Related Support Activities</v>
      </c>
      <c r="E147" s="304" t="s">
        <v>539</v>
      </c>
    </row>
    <row r="148" spans="2:5" ht="45">
      <c r="B148" t="s">
        <v>3839</v>
      </c>
      <c r="C148" s="303" t="s">
        <v>859</v>
      </c>
      <c r="D148" s="303" t="str">
        <f>_xlfn.XLOOKUP(C148,IndustryFactors_v1.4!A:A,IndustryFactors_v1.4!B:B,,0)</f>
        <v>Professional and Commercial Equipment and Supplies Merchant Wholesalers</v>
      </c>
      <c r="E148" s="304" t="s">
        <v>858</v>
      </c>
    </row>
    <row r="149" spans="2:5" ht="25.5">
      <c r="B149" t="s">
        <v>3777</v>
      </c>
      <c r="C149" s="303" t="s">
        <v>528</v>
      </c>
      <c r="D149" s="303" t="str">
        <f>_xlfn.XLOOKUP(C149,IndustryFactors_v1.4!A:A,IndustryFactors_v1.4!B:B,,0)</f>
        <v>Pulp, Paper, and Paperboard Mills</v>
      </c>
      <c r="E149" s="304" t="s">
        <v>527</v>
      </c>
    </row>
    <row r="150" spans="2:5" ht="25.5">
      <c r="B150" t="s">
        <v>3867</v>
      </c>
      <c r="C150" s="303" t="s">
        <v>921</v>
      </c>
      <c r="D150" s="303" t="str">
        <f>_xlfn.XLOOKUP(C150,IndustryFactors_v1.4!A:A,IndustryFactors_v1.4!B:B,,0)</f>
        <v>Radio and Television Broadcasting</v>
      </c>
      <c r="E150" s="304" t="s">
        <v>920</v>
      </c>
    </row>
    <row r="151" spans="2:5" ht="89.25">
      <c r="B151" t="s">
        <v>3855</v>
      </c>
      <c r="C151" s="303" t="s">
        <v>1641</v>
      </c>
      <c r="D151" s="303" t="str">
        <f>_xlfn.XLOOKUP(C151,IndustryFactors_v1.4!A:A,IndustryFactors_v1.4!B:B,,0)</f>
        <v>Rail Transportation</v>
      </c>
      <c r="E151" s="304" t="s">
        <v>1361</v>
      </c>
    </row>
    <row r="152" spans="2:5" ht="38.25">
      <c r="B152" t="s">
        <v>3830</v>
      </c>
      <c r="C152" s="303" t="s">
        <v>810</v>
      </c>
      <c r="D152" s="303" t="str">
        <f>_xlfn.XLOOKUP(C152,IndustryFactors_v1.4!A:A,IndustryFactors_v1.4!B:B,,0)</f>
        <v>Railroad Rolling Stock Manufacturing</v>
      </c>
      <c r="E152" s="304" t="s">
        <v>809</v>
      </c>
    </row>
    <row r="153" spans="2:5" ht="15">
      <c r="B153" t="s">
        <v>3752</v>
      </c>
      <c r="C153" s="303" t="s">
        <v>398</v>
      </c>
      <c r="D153" s="303" t="str">
        <f>_xlfn.XLOOKUP(C153,IndustryFactors_v1.4!A:A,IndustryFactors_v1.4!B:B,,0)</f>
        <v>Residential Building Construction</v>
      </c>
      <c r="E153" s="304" t="s">
        <v>401</v>
      </c>
    </row>
    <row r="154" spans="2:5" ht="45">
      <c r="B154" t="s">
        <v>3782</v>
      </c>
      <c r="C154" s="303" t="s">
        <v>556</v>
      </c>
      <c r="D154" s="303" t="str">
        <f>_xlfn.XLOOKUP(C154,IndustryFactors_v1.4!A:A,IndustryFactors_v1.4!B:B,,0)</f>
        <v>Resin, Synthetic Rubber, and Artificial and Synthetic Fibers and Filaments Manufacturing</v>
      </c>
      <c r="E154" s="304" t="s">
        <v>555</v>
      </c>
    </row>
    <row r="155" spans="2:5" ht="25.5">
      <c r="B155" t="s">
        <v>3789</v>
      </c>
      <c r="C155" s="303" t="s">
        <v>593</v>
      </c>
      <c r="D155" s="303" t="str">
        <f>_xlfn.XLOOKUP(C155,IndustryFactors_v1.4!A:A,IndustryFactors_v1.4!B:B,,0)</f>
        <v>Rubber Product Manufacturing</v>
      </c>
      <c r="E155" s="304" t="s">
        <v>592</v>
      </c>
    </row>
    <row r="156" spans="2:5" ht="38.25">
      <c r="B156" t="s">
        <v>3774</v>
      </c>
      <c r="C156" s="303" t="s">
        <v>517</v>
      </c>
      <c r="D156" s="303" t="str">
        <f>_xlfn.XLOOKUP(C156,IndustryFactors_v1.4!A:A,IndustryFactors_v1.4!B:B,,0)</f>
        <v>Sawmills and Wood Preservation</v>
      </c>
      <c r="E156" s="304" t="s">
        <v>516</v>
      </c>
    </row>
    <row r="157" spans="2:5" ht="178.5">
      <c r="B157" t="s">
        <v>3734</v>
      </c>
      <c r="C157" s="303" t="s">
        <v>3734</v>
      </c>
      <c r="D157" s="303" t="s">
        <v>3734</v>
      </c>
      <c r="E157" s="304" t="s">
        <v>3915</v>
      </c>
    </row>
    <row r="158" spans="2:5" ht="127.5">
      <c r="B158" t="s">
        <v>3854</v>
      </c>
      <c r="C158" s="303" t="s">
        <v>1640</v>
      </c>
      <c r="D158" s="303" t="str">
        <f>_xlfn.XLOOKUP(C158,IndustryFactors_v1.4!A:A,IndustryFactors_v1.4!B:B,,0)</f>
        <v>Scheduled Air Transportation</v>
      </c>
      <c r="E158" s="304" t="s">
        <v>1360</v>
      </c>
    </row>
    <row r="159" spans="2:5" ht="51">
      <c r="B159" t="s">
        <v>3891</v>
      </c>
      <c r="C159" s="303" t="s">
        <v>1650</v>
      </c>
      <c r="D159" s="303" t="str">
        <f>_xlfn.XLOOKUP(C159,IndustryFactors_v1.4!A:A,IndustryFactors_v1.4!B:B,,0)</f>
        <v>Scientific Research and Development Services</v>
      </c>
      <c r="E159" s="304" t="s">
        <v>1687</v>
      </c>
    </row>
    <row r="160" spans="2:5" ht="51">
      <c r="B160" t="s">
        <v>3762</v>
      </c>
      <c r="C160" s="303" t="s">
        <v>471</v>
      </c>
      <c r="D160" s="303" t="str">
        <f>_xlfn.XLOOKUP(C160,IndustryFactors_v1.4!A:A,IndustryFactors_v1.4!B:B,,0)</f>
        <v>Seafood Product Preparation and Packaging</v>
      </c>
      <c r="E160" s="304" t="s">
        <v>470</v>
      </c>
    </row>
    <row r="161" spans="2:5" ht="51">
      <c r="B161" t="s">
        <v>3876</v>
      </c>
      <c r="C161" s="303" t="s">
        <v>950</v>
      </c>
      <c r="D161" s="303" t="str">
        <f>_xlfn.XLOOKUP(C161,IndustryFactors_v1.4!A:A,IndustryFactors_v1.4!B:B,,0)</f>
        <v>Securities and Commodity Contracts Intermediation and Brokerage</v>
      </c>
      <c r="E161" s="304" t="s">
        <v>1682</v>
      </c>
    </row>
    <row r="162" spans="2:5" ht="38.25">
      <c r="B162" t="s">
        <v>3819</v>
      </c>
      <c r="C162" s="303" t="s">
        <v>739</v>
      </c>
      <c r="D162" s="303" t="str">
        <f>_xlfn.XLOOKUP(C162,IndustryFactors_v1.4!A:A,IndustryFactors_v1.4!B:B,,0)</f>
        <v>Semiconductor and Other Electronic Component Manufacturing</v>
      </c>
      <c r="E162" s="304" t="s">
        <v>741</v>
      </c>
    </row>
    <row r="163" spans="2:5" ht="25.5">
      <c r="B163" t="s">
        <v>3901</v>
      </c>
      <c r="C163" s="303" t="s">
        <v>1024</v>
      </c>
      <c r="D163" s="303" t="str">
        <f>_xlfn.XLOOKUP(C163,IndustryFactors_v1.4!A:A,IndustryFactors_v1.4!B:B,,0)</f>
        <v>Services to Buildings and Dwellings</v>
      </c>
      <c r="E163" s="304" t="s">
        <v>1023</v>
      </c>
    </row>
    <row r="164" spans="2:5" ht="51">
      <c r="B164" t="s">
        <v>3831</v>
      </c>
      <c r="C164" s="303" t="s">
        <v>813</v>
      </c>
      <c r="D164" s="303" t="str">
        <f>_xlfn.XLOOKUP(C164,IndustryFactors_v1.4!A:A,IndustryFactors_v1.4!B:B,,0)</f>
        <v>Ship and Boat Building</v>
      </c>
      <c r="E164" s="304" t="s">
        <v>812</v>
      </c>
    </row>
    <row r="165" spans="2:5" ht="30">
      <c r="B165" t="s">
        <v>3786</v>
      </c>
      <c r="C165" s="303" t="s">
        <v>575</v>
      </c>
      <c r="D165" s="303" t="str">
        <f>_xlfn.XLOOKUP(C165,IndustryFactors_v1.4!A:A,IndustryFactors_v1.4!B:B,,0)</f>
        <v>Soap, Cleaning Compound, and Toilet Preparation Manufacturing</v>
      </c>
      <c r="E165" s="304" t="s">
        <v>574</v>
      </c>
    </row>
    <row r="166" spans="2:5" ht="38.25">
      <c r="B166" t="s">
        <v>3864</v>
      </c>
      <c r="C166" s="303" t="s">
        <v>912</v>
      </c>
      <c r="D166" s="303" t="str">
        <f>_xlfn.XLOOKUP(C166,IndustryFactors_v1.4!A:A,IndustryFactors_v1.4!B:B,,0)</f>
        <v>Software Publishers</v>
      </c>
      <c r="E166" s="304" t="s">
        <v>911</v>
      </c>
    </row>
    <row r="167" spans="2:5" ht="25.5">
      <c r="B167" t="s">
        <v>3866</v>
      </c>
      <c r="C167" s="303" t="s">
        <v>918</v>
      </c>
      <c r="D167" s="303" t="str">
        <f>_xlfn.XLOOKUP(C167,IndustryFactors_v1.4!A:A,IndustryFactors_v1.4!B:B,,0)</f>
        <v>Sound Recording Industries</v>
      </c>
      <c r="E167" s="304" t="s">
        <v>917</v>
      </c>
    </row>
    <row r="168" spans="2:5" ht="51">
      <c r="B168" t="s">
        <v>3908</v>
      </c>
      <c r="C168" s="303" t="s">
        <v>1092</v>
      </c>
      <c r="D168" s="303" t="str">
        <f>_xlfn.XLOOKUP(C168,IndustryFactors_v1.4!A:A,IndustryFactors_v1.4!B:B,,0)</f>
        <v>Special Food Services</v>
      </c>
      <c r="E168" s="304" t="s">
        <v>1691</v>
      </c>
    </row>
    <row r="169" spans="2:5" ht="25.5">
      <c r="B169" t="s">
        <v>3888</v>
      </c>
      <c r="C169" s="303" t="s">
        <v>991</v>
      </c>
      <c r="D169" s="303" t="str">
        <f>_xlfn.XLOOKUP(C169,IndustryFactors_v1.4!A:A,IndustryFactors_v1.4!B:B,,0)</f>
        <v>Specialized Design Services</v>
      </c>
      <c r="E169" s="304" t="s">
        <v>990</v>
      </c>
    </row>
    <row r="170" spans="2:5" ht="38.25">
      <c r="B170" t="s">
        <v>3805</v>
      </c>
      <c r="C170" s="303" t="s">
        <v>661</v>
      </c>
      <c r="D170" s="303" t="str">
        <f>_xlfn.XLOOKUP(C170,IndustryFactors_v1.4!A:A,IndustryFactors_v1.4!B:B,,0)</f>
        <v>Spring and Wire Product Manufacturing</v>
      </c>
      <c r="E170" s="304" t="s">
        <v>660</v>
      </c>
    </row>
    <row r="171" spans="2:5" ht="30">
      <c r="B171" t="s">
        <v>3796</v>
      </c>
      <c r="C171" s="303" t="s">
        <v>623</v>
      </c>
      <c r="D171" s="303" t="str">
        <f>_xlfn.XLOOKUP(C171,IndustryFactors_v1.4!A:A,IndustryFactors_v1.4!B:B,,0)</f>
        <v>Steel Product Manufacturing from Purchased Steel</v>
      </c>
      <c r="E171" s="304" t="s">
        <v>622</v>
      </c>
    </row>
    <row r="172" spans="2:5" ht="30">
      <c r="B172" t="s">
        <v>3758</v>
      </c>
      <c r="C172" s="303" t="s">
        <v>452</v>
      </c>
      <c r="D172" s="303" t="str">
        <f>_xlfn.XLOOKUP(C172,IndustryFactors_v1.4!A:A,IndustryFactors_v1.4!B:B,,0)</f>
        <v>Sugar and Confectionery Product Manufacturing</v>
      </c>
      <c r="E172" s="304" t="s">
        <v>451</v>
      </c>
    </row>
    <row r="173" spans="2:5" ht="51">
      <c r="B173" t="s">
        <v>3744</v>
      </c>
      <c r="C173" s="303" t="s">
        <v>368</v>
      </c>
      <c r="D173" s="303" t="str">
        <f>_xlfn.XLOOKUP(C173,IndustryFactors_v1.4!A:A,IndustryFactors_v1.4!B:B,,0)</f>
        <v>Support Activities for Crop Production</v>
      </c>
      <c r="E173" s="304" t="s">
        <v>367</v>
      </c>
    </row>
    <row r="174" spans="2:5" ht="25.5">
      <c r="B174" t="s">
        <v>3749</v>
      </c>
      <c r="C174" s="303" t="s">
        <v>387</v>
      </c>
      <c r="D174" s="303" t="str">
        <f>_xlfn.XLOOKUP(C174,IndustryFactors_v1.4!A:A,IndustryFactors_v1.4!B:B,,0)</f>
        <v>Support Activities for Mining</v>
      </c>
      <c r="E174" s="304" t="s">
        <v>386</v>
      </c>
    </row>
    <row r="175" spans="2:5" ht="30">
      <c r="B175" t="s">
        <v>3769</v>
      </c>
      <c r="C175" s="303" t="s">
        <v>501</v>
      </c>
      <c r="D175" s="303" t="str">
        <f>_xlfn.XLOOKUP(C175,IndustryFactors_v1.4!A:A,IndustryFactors_v1.4!B:B,,0)</f>
        <v>Textile and Fabric Finishing and Fabric Coating Mills</v>
      </c>
      <c r="E175" s="304" t="s">
        <v>500</v>
      </c>
    </row>
    <row r="176" spans="2:5" ht="38.25">
      <c r="B176" t="s">
        <v>3770</v>
      </c>
      <c r="C176" s="303" t="s">
        <v>504</v>
      </c>
      <c r="D176" s="303" t="str">
        <f>_xlfn.XLOOKUP(C176,IndustryFactors_v1.4!A:A,IndustryFactors_v1.4!B:B,,0)</f>
        <v>Textile Furnishings Mills</v>
      </c>
      <c r="E176" s="304" t="s">
        <v>503</v>
      </c>
    </row>
    <row r="177" spans="2:5" ht="102">
      <c r="B177" t="s">
        <v>3743</v>
      </c>
      <c r="C177" s="303" t="s">
        <v>361</v>
      </c>
      <c r="D177" s="303" t="str">
        <f>_xlfn.XLOOKUP(C177,IndustryFactors_v1.4!A:A,IndustryFactors_v1.4!B:B,,0)</f>
        <v>Timber Tract Operations</v>
      </c>
      <c r="E177" s="304" t="s">
        <v>360</v>
      </c>
    </row>
    <row r="178" spans="2:5" ht="25.5">
      <c r="B178" t="s">
        <v>3766</v>
      </c>
      <c r="C178" s="303" t="s">
        <v>492</v>
      </c>
      <c r="D178" s="303" t="str">
        <f>_xlfn.XLOOKUP(C178,IndustryFactors_v1.4!A:A,IndustryFactors_v1.4!B:B,,0)</f>
        <v>Tobacco Manufacturing</v>
      </c>
      <c r="E178" s="304" t="s">
        <v>491</v>
      </c>
    </row>
    <row r="179" spans="2:5" ht="30">
      <c r="B179" t="s">
        <v>3899</v>
      </c>
      <c r="C179" s="303" t="s">
        <v>1018</v>
      </c>
      <c r="D179" s="303" t="str">
        <f>_xlfn.XLOOKUP(C179,IndustryFactors_v1.4!A:A,IndustryFactors_v1.4!B:B,,0)</f>
        <v>Travel Arrangement and Reservation Services</v>
      </c>
      <c r="E179" s="304" t="s">
        <v>1017</v>
      </c>
    </row>
    <row r="180" spans="2:5" ht="15">
      <c r="B180" t="s">
        <v>3754</v>
      </c>
      <c r="C180" s="303" t="s">
        <v>406</v>
      </c>
      <c r="D180" s="303" t="str">
        <f>_xlfn.XLOOKUP(C180,IndustryFactors_v1.4!A:A,IndustryFactors_v1.4!B:B,,0)</f>
        <v>Utility System Construction</v>
      </c>
      <c r="E180" s="304" t="s">
        <v>405</v>
      </c>
    </row>
    <row r="181" spans="2:5" ht="38.25">
      <c r="B181" t="s">
        <v>3736</v>
      </c>
      <c r="C181" s="303" t="s">
        <v>338</v>
      </c>
      <c r="D181" s="303" t="str">
        <f>_xlfn.XLOOKUP(C181,IndustryFactors_v1.4!A:A,IndustryFactors_v1.4!B:B,,0)</f>
        <v>Vegetable and Melon Farming</v>
      </c>
      <c r="E181" s="304" t="s">
        <v>337</v>
      </c>
    </row>
    <row r="182" spans="2:5" ht="51">
      <c r="B182" t="s">
        <v>3775</v>
      </c>
      <c r="C182" s="303" t="s">
        <v>520</v>
      </c>
      <c r="D182" s="303" t="str">
        <f>_xlfn.XLOOKUP(C182,IndustryFactors_v1.4!A:A,IndustryFactors_v1.4!B:B,,0)</f>
        <v>Veneer, Plywood, and Engineered Wood Product Manufacturing</v>
      </c>
      <c r="E182" s="304" t="s">
        <v>519</v>
      </c>
    </row>
    <row r="183" spans="2:5" ht="51">
      <c r="B183" t="s">
        <v>3812</v>
      </c>
      <c r="C183" s="303" t="s">
        <v>697</v>
      </c>
      <c r="D183" s="303" t="str">
        <f>_xlfn.XLOOKUP(C183,IndustryFactors_v1.4!A:A,IndustryFactors_v1.4!B:B,,0)</f>
        <v>Ventilation, Heating, Air-Conditioning, and Commercial Refrigeration Equipment Manufacturing</v>
      </c>
      <c r="E183" s="304" t="s">
        <v>696</v>
      </c>
    </row>
    <row r="184" spans="2:5" ht="102">
      <c r="B184" t="s">
        <v>3862</v>
      </c>
      <c r="C184" s="303" t="s">
        <v>1648</v>
      </c>
      <c r="D184" s="303" t="str">
        <f>_xlfn.XLOOKUP(C184,IndustryFactors_v1.4!A:A,IndustryFactors_v1.4!B:B,,0)</f>
        <v>Warehousing and Storage</v>
      </c>
      <c r="E184" s="304" t="s">
        <v>1678</v>
      </c>
    </row>
    <row r="185" spans="2:5" ht="25.5">
      <c r="B185" t="s">
        <v>3751</v>
      </c>
      <c r="C185" s="303" t="s">
        <v>395</v>
      </c>
      <c r="D185" s="303" t="str">
        <f>_xlfn.XLOOKUP(C185,IndustryFactors_v1.4!A:A,IndustryFactors_v1.4!B:B,,0)</f>
        <v>Water, Sewage and Other Systems</v>
      </c>
      <c r="E185" s="304" t="s">
        <v>394</v>
      </c>
    </row>
    <row r="186" spans="2:5" ht="38.25">
      <c r="B186" t="s">
        <v>3845</v>
      </c>
      <c r="C186" s="303" t="s">
        <v>879</v>
      </c>
      <c r="D186" s="303" t="str">
        <f>_xlfn.XLOOKUP(C186,IndustryFactors_v1.4!A:A,IndustryFactors_v1.4!B:B,,0)</f>
        <v>Wholesale Electronic Markets and Agents and Brokers</v>
      </c>
      <c r="E186" s="304" t="s">
        <v>878</v>
      </c>
    </row>
    <row r="187" spans="2:5" ht="76.5">
      <c r="B187" t="s">
        <v>3869</v>
      </c>
      <c r="C187" s="303" t="s">
        <v>926</v>
      </c>
      <c r="D187" s="303" t="str">
        <f>_xlfn.XLOOKUP(C187,IndustryFactors_v1.4!A:A,IndustryFactors_v1.4!B:B,,0)</f>
        <v>Wired Telecommunications Carriers</v>
      </c>
      <c r="E187" s="304" t="s">
        <v>925</v>
      </c>
    </row>
    <row r="188" spans="2:5" ht="38.25">
      <c r="B188" t="s">
        <v>3870</v>
      </c>
      <c r="C188" s="303" t="s">
        <v>929</v>
      </c>
      <c r="D188" s="303" t="str">
        <f>_xlfn.XLOOKUP(C188,IndustryFactors_v1.4!A:A,IndustryFactors_v1.4!B:B,,0)</f>
        <v>Wireless Telecommunications Carriers (except Satellite)</v>
      </c>
      <c r="E188" s="304" t="s">
        <v>928</v>
      </c>
    </row>
  </sheetData>
  <sheetProtection algorithmName="SHA-512" hashValue="0ciRRMee4PqOF80zd1DvQjs/49B1MfA1ed2G13nNwp4nQqa6qeGtvtqyJ5DnuzOrvQXEheKJMG+XvKMNRoeuVA==" saltValue="lqUBF/FZ8J6o2FcIfhjK8Q==" spinCount="100000" sheet="1" autoFilter="0"/>
  <autoFilter ref="D3:E3" xr:uid="{C1B9A066-4141-47B7-B714-265820EDAA40}"/>
  <sortState xmlns:xlrd2="http://schemas.microsoft.com/office/spreadsheetml/2017/richdata2" ref="B4:E188">
    <sortCondition ref="B4:B188"/>
  </sortState>
  <pageMargins left="0.7" right="0.7" top="0.75" bottom="0.75" header="0.3" footer="0.3"/>
  <pageSetup orientation="portrait" horizontalDpi="1200" verticalDpi="12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1C5AA4-3E86-47B6-92AF-942C982E1F08}">
  <sheetPr codeName="Sheet40">
    <tabColor rgb="FF002060"/>
  </sheetPr>
  <dimension ref="A1:Y72"/>
  <sheetViews>
    <sheetView showGridLines="0" topLeftCell="A43" workbookViewId="0">
      <selection activeCell="Q63" sqref="Q63"/>
    </sheetView>
  </sheetViews>
  <sheetFormatPr defaultColWidth="8.875" defaultRowHeight="14.25"/>
  <cols>
    <col min="1" max="2" width="8.875" style="309"/>
    <col min="3" max="3" width="15" style="309" customWidth="1"/>
    <col min="4" max="16384" width="8.875" style="309"/>
  </cols>
  <sheetData>
    <row r="1" spans="1:25" ht="27.6" customHeight="1">
      <c r="A1" s="306" t="s">
        <v>26</v>
      </c>
      <c r="B1" s="307"/>
      <c r="C1" s="307"/>
      <c r="D1" s="307"/>
      <c r="E1" s="307"/>
      <c r="F1" s="307"/>
      <c r="G1" s="307"/>
      <c r="H1" s="308"/>
      <c r="I1" s="308"/>
      <c r="J1" s="308"/>
      <c r="K1" s="308"/>
      <c r="L1" s="308"/>
      <c r="M1" s="308"/>
      <c r="N1" s="308"/>
      <c r="O1" s="308"/>
      <c r="P1" s="308"/>
      <c r="Q1" s="308"/>
      <c r="R1" s="308"/>
      <c r="S1" s="308"/>
      <c r="T1" s="308"/>
      <c r="U1" s="308"/>
      <c r="V1" s="308"/>
      <c r="W1" s="308"/>
      <c r="X1" s="308"/>
      <c r="Y1" s="308"/>
    </row>
    <row r="3" spans="1:25" ht="15">
      <c r="B3" s="310" t="s">
        <v>1153</v>
      </c>
      <c r="D3" s="311"/>
    </row>
    <row r="4" spans="1:25" ht="15">
      <c r="B4" s="310" t="s">
        <v>1158</v>
      </c>
    </row>
    <row r="5" spans="1:25" ht="15">
      <c r="B5" s="310" t="s">
        <v>1165</v>
      </c>
    </row>
    <row r="6" spans="1:25" ht="15">
      <c r="B6" s="310" t="s">
        <v>4353</v>
      </c>
    </row>
    <row r="7" spans="1:25" ht="15">
      <c r="B7" s="310" t="s">
        <v>1171</v>
      </c>
    </row>
    <row r="8" spans="1:25" ht="15">
      <c r="B8" s="310" t="s">
        <v>1198</v>
      </c>
    </row>
    <row r="9" spans="1:25" ht="15">
      <c r="B9" s="310"/>
      <c r="C9" s="309" t="s">
        <v>4350</v>
      </c>
    </row>
    <row r="10" spans="1:25" ht="15">
      <c r="B10" s="310"/>
      <c r="C10" s="949" t="s">
        <v>4351</v>
      </c>
      <c r="E10" s="309" t="s">
        <v>4352</v>
      </c>
    </row>
    <row r="12" spans="1:25" ht="15">
      <c r="B12" s="310" t="s">
        <v>1161</v>
      </c>
    </row>
    <row r="13" spans="1:25" ht="15">
      <c r="B13" s="310"/>
      <c r="C13" s="310" t="s">
        <v>1693</v>
      </c>
    </row>
    <row r="14" spans="1:25" ht="15">
      <c r="B14" s="310"/>
      <c r="C14" s="313" t="s">
        <v>4006</v>
      </c>
    </row>
    <row r="15" spans="1:25" ht="15">
      <c r="B15" s="310"/>
      <c r="C15" s="813" t="s">
        <v>4005</v>
      </c>
    </row>
    <row r="16" spans="1:25" ht="15">
      <c r="B16" s="310"/>
      <c r="C16" s="314" t="s">
        <v>4355</v>
      </c>
    </row>
    <row r="17" spans="2:3" ht="15">
      <c r="B17" s="310"/>
      <c r="C17" s="314" t="s">
        <v>4357</v>
      </c>
    </row>
    <row r="18" spans="2:3" ht="15">
      <c r="B18" s="310"/>
      <c r="C18" s="310" t="s">
        <v>4009</v>
      </c>
    </row>
    <row r="19" spans="2:3">
      <c r="C19" s="313" t="s">
        <v>4356</v>
      </c>
    </row>
    <row r="21" spans="2:3" ht="15">
      <c r="B21" s="310" t="s">
        <v>1168</v>
      </c>
    </row>
    <row r="22" spans="2:3" ht="15">
      <c r="C22" s="309" t="s">
        <v>4354</v>
      </c>
    </row>
    <row r="23" spans="2:3">
      <c r="C23" s="950" t="s">
        <v>4007</v>
      </c>
    </row>
    <row r="24" spans="2:3" ht="15">
      <c r="B24" s="310"/>
      <c r="C24" s="309" t="s">
        <v>4347</v>
      </c>
    </row>
    <row r="25" spans="2:3" ht="15">
      <c r="B25" s="310"/>
      <c r="C25" s="950" t="s">
        <v>4005</v>
      </c>
    </row>
    <row r="26" spans="2:3" ht="15">
      <c r="C26" s="309" t="s">
        <v>4348</v>
      </c>
    </row>
    <row r="27" spans="2:3">
      <c r="C27" s="951" t="s">
        <v>4198</v>
      </c>
    </row>
    <row r="28" spans="2:3" ht="15">
      <c r="C28" s="309" t="s">
        <v>4349</v>
      </c>
    </row>
    <row r="29" spans="2:3">
      <c r="C29" s="8"/>
    </row>
    <row r="30" spans="2:3" ht="15">
      <c r="B30" s="310" t="s">
        <v>1174</v>
      </c>
    </row>
    <row r="31" spans="2:3" ht="15">
      <c r="B31" s="310" t="s">
        <v>1694</v>
      </c>
    </row>
    <row r="32" spans="2:3" ht="15">
      <c r="B32" s="310"/>
      <c r="C32" s="309" t="s">
        <v>4346</v>
      </c>
    </row>
    <row r="33" spans="2:3" ht="15">
      <c r="B33" s="310"/>
      <c r="C33" s="312" t="s">
        <v>1435</v>
      </c>
    </row>
    <row r="34" spans="2:3" ht="15">
      <c r="B34" s="310"/>
      <c r="C34" s="309" t="s">
        <v>4054</v>
      </c>
    </row>
    <row r="35" spans="2:3" ht="15">
      <c r="B35" s="310"/>
      <c r="C35" s="312" t="s">
        <v>4010</v>
      </c>
    </row>
    <row r="36" spans="2:3" ht="15">
      <c r="B36" s="310"/>
      <c r="C36" s="309" t="s">
        <v>3931</v>
      </c>
    </row>
    <row r="37" spans="2:3" ht="15">
      <c r="B37" s="310"/>
      <c r="C37" s="312" t="s">
        <v>1485</v>
      </c>
    </row>
    <row r="38" spans="2:3" ht="15">
      <c r="B38" s="310"/>
      <c r="C38" s="309" t="s">
        <v>4345</v>
      </c>
    </row>
    <row r="39" spans="2:3" ht="15">
      <c r="B39" s="310"/>
      <c r="C39" s="312" t="s">
        <v>4005</v>
      </c>
    </row>
    <row r="40" spans="2:3" ht="15">
      <c r="B40" s="310"/>
      <c r="C40" s="812"/>
    </row>
    <row r="41" spans="2:3" ht="15">
      <c r="B41" s="310" t="s">
        <v>1177</v>
      </c>
    </row>
    <row r="42" spans="2:3" ht="15">
      <c r="B42" s="310" t="s">
        <v>1194</v>
      </c>
    </row>
    <row r="43" spans="2:3" ht="15">
      <c r="B43" s="310"/>
      <c r="C43" s="309" t="s">
        <v>4011</v>
      </c>
    </row>
    <row r="44" spans="2:3" ht="15">
      <c r="B44" s="310"/>
      <c r="C44" s="312" t="s">
        <v>4012</v>
      </c>
    </row>
    <row r="45" spans="2:3">
      <c r="C45" s="309" t="s">
        <v>4008</v>
      </c>
    </row>
    <row r="46" spans="2:3">
      <c r="C46" s="312" t="s">
        <v>4013</v>
      </c>
    </row>
    <row r="47" spans="2:3">
      <c r="C47" s="309" t="s">
        <v>4014</v>
      </c>
    </row>
    <row r="48" spans="2:3">
      <c r="C48" s="312" t="s">
        <v>4015</v>
      </c>
    </row>
    <row r="49" spans="1:13">
      <c r="C49" s="312"/>
    </row>
    <row r="50" spans="1:13" ht="15">
      <c r="B50" s="310" t="s">
        <v>1187</v>
      </c>
    </row>
    <row r="51" spans="1:13">
      <c r="C51" s="309" t="s">
        <v>4087</v>
      </c>
    </row>
    <row r="52" spans="1:13">
      <c r="C52" s="813"/>
    </row>
    <row r="53" spans="1:13" ht="15">
      <c r="B53" s="310" t="s">
        <v>1695</v>
      </c>
    </row>
    <row r="54" spans="1:13">
      <c r="C54" s="309" t="s">
        <v>1696</v>
      </c>
    </row>
    <row r="55" spans="1:13">
      <c r="C55" s="312" t="s">
        <v>1697</v>
      </c>
      <c r="M55" s="315"/>
    </row>
    <row r="56" spans="1:13">
      <c r="C56" s="309" t="s">
        <v>1698</v>
      </c>
    </row>
    <row r="57" spans="1:13">
      <c r="C57" s="312" t="s">
        <v>1699</v>
      </c>
    </row>
    <row r="59" spans="1:13" ht="15">
      <c r="C59" s="835" t="s">
        <v>1203</v>
      </c>
      <c r="D59" s="836"/>
      <c r="E59" s="41"/>
      <c r="F59" s="41"/>
    </row>
    <row r="60" spans="1:13" ht="6" customHeight="1">
      <c r="A60" s="782"/>
      <c r="C60" s="30"/>
      <c r="D60" s="41"/>
      <c r="E60" s="41"/>
      <c r="F60" s="41"/>
    </row>
    <row r="61" spans="1:13">
      <c r="C61" s="30"/>
      <c r="D61" s="41"/>
      <c r="E61" s="41"/>
      <c r="F61" s="41"/>
    </row>
    <row r="62" spans="1:13">
      <c r="C62" s="30"/>
      <c r="D62" s="30"/>
      <c r="E62" s="30"/>
      <c r="F62" s="41"/>
    </row>
    <row r="63" spans="1:13">
      <c r="C63" s="30"/>
      <c r="D63" s="30"/>
      <c r="E63" s="30"/>
      <c r="F63" s="41"/>
    </row>
    <row r="64" spans="1:13">
      <c r="C64" s="30"/>
      <c r="D64" s="30"/>
      <c r="E64" s="30"/>
      <c r="F64" s="41"/>
    </row>
    <row r="65" spans="3:6">
      <c r="C65" s="30"/>
      <c r="D65" s="30"/>
      <c r="E65" s="30"/>
      <c r="F65" s="41"/>
    </row>
    <row r="66" spans="3:6">
      <c r="C66" s="30"/>
      <c r="D66" s="30"/>
      <c r="E66" s="30"/>
      <c r="F66" s="41"/>
    </row>
    <row r="67" spans="3:6">
      <c r="C67" s="30"/>
      <c r="D67" s="30"/>
      <c r="E67" s="30"/>
      <c r="F67" s="41"/>
    </row>
    <row r="68" spans="3:6">
      <c r="C68" s="30"/>
      <c r="D68" s="30"/>
      <c r="E68" s="30"/>
      <c r="F68" s="41"/>
    </row>
    <row r="69" spans="3:6">
      <c r="C69" s="30"/>
      <c r="D69" s="30"/>
      <c r="E69" s="30"/>
      <c r="F69" s="41"/>
    </row>
    <row r="70" spans="3:6">
      <c r="C70" s="837" t="s">
        <v>1208</v>
      </c>
      <c r="D70" s="30"/>
      <c r="E70" s="30"/>
      <c r="F70" s="30"/>
    </row>
    <row r="71" spans="3:6">
      <c r="C71" s="30"/>
      <c r="D71" s="30"/>
      <c r="E71" s="30"/>
      <c r="F71" s="30"/>
    </row>
    <row r="72" spans="3:6">
      <c r="D72" s="838"/>
      <c r="E72" s="838"/>
      <c r="F72" s="838"/>
    </row>
  </sheetData>
  <hyperlinks>
    <hyperlink ref="C55" r:id="rId1" xr:uid="{D26DC7DB-F4E7-4801-891C-7875310BA771}"/>
    <hyperlink ref="C57" r:id="rId2" xr:uid="{0CA91299-FF9A-4919-8E4F-390EC6276DEA}"/>
    <hyperlink ref="C15" r:id="rId3" xr:uid="{EB153A44-E166-4C24-B204-0E6317384F1C}"/>
    <hyperlink ref="C23" r:id="rId4" xr:uid="{9CEE343E-22A9-480F-8491-7469DA8230B1}"/>
    <hyperlink ref="C39" r:id="rId5" xr:uid="{01F89872-E83E-4CCC-8605-1B7DC1024819}"/>
    <hyperlink ref="C33" r:id="rId6" xr:uid="{EE981A3C-53B1-49EE-81A4-14E60B33DF02}"/>
    <hyperlink ref="C44" r:id="rId7" xr:uid="{14551E39-A4E9-4DBA-8C7E-C9CA603823FC}"/>
    <hyperlink ref="C46" r:id="rId8" xr:uid="{F15F301D-FD9B-4351-B99C-F7D444000EFF}"/>
    <hyperlink ref="C48" r:id="rId9" xr:uid="{79EB4874-1EA9-43B5-BB7A-491F22464EF5}"/>
    <hyperlink ref="C70" r:id="rId10" xr:uid="{F5775885-828A-4A50-B93D-E7574D67B293}"/>
    <hyperlink ref="C27" r:id="rId11" xr:uid="{AD492258-B3E0-4062-B46B-EDDCD62E9A03}"/>
    <hyperlink ref="C37" r:id="rId12" xr:uid="{956E29E3-409F-4F3E-9303-EE4F14D470DC}"/>
    <hyperlink ref="C25" r:id="rId13" xr:uid="{EA6511F0-92D5-4231-87A7-ECAE9DA0FABA}"/>
    <hyperlink ref="C10" r:id="rId14" xr:uid="{A4F70AB9-D7F0-4C3E-BC69-6F59D3F62585}"/>
  </hyperlinks>
  <pageMargins left="0.7" right="0.7" top="0.75" bottom="0.75" header="0.3" footer="0.3"/>
  <pageSetup orientation="portrait" horizontalDpi="1200" verticalDpi="1200" r:id="rId15"/>
  <drawing r:id="rId16"/>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48906-B105-45EE-B6B2-495C36A4FE09}">
  <sheetPr codeName="Sheet24"/>
  <dimension ref="B1:AA260"/>
  <sheetViews>
    <sheetView topLeftCell="B1" zoomScale="115" zoomScaleNormal="115" workbookViewId="0">
      <selection sqref="A1:XFD1048576"/>
    </sheetView>
  </sheetViews>
  <sheetFormatPr defaultColWidth="56" defaultRowHeight="14.25"/>
  <cols>
    <col min="1" max="1" width="8.875" style="30" customWidth="1"/>
    <col min="2" max="2" width="7.625" style="30" customWidth="1"/>
    <col min="3" max="3" width="18.75" style="30" customWidth="1"/>
    <col min="4" max="4" width="21.375" style="30" customWidth="1"/>
    <col min="5" max="5" width="13.125" style="30" customWidth="1"/>
    <col min="6" max="6" width="17.125" style="30" bestFit="1" customWidth="1"/>
    <col min="7" max="7" width="28.75" style="30" bestFit="1" customWidth="1"/>
    <col min="8" max="8" width="13.5" style="30" customWidth="1"/>
    <col min="9" max="9" width="28.875" style="30" bestFit="1" customWidth="1"/>
    <col min="10" max="10" width="28.125" style="30" customWidth="1"/>
    <col min="11" max="11" width="30.875" style="30" customWidth="1"/>
    <col min="12" max="12" width="12.875" style="30" customWidth="1"/>
    <col min="13" max="13" width="15.125" style="30" bestFit="1" customWidth="1"/>
    <col min="14" max="14" width="23.5" style="30" customWidth="1"/>
    <col min="15" max="15" width="11.125" style="30" customWidth="1"/>
    <col min="16" max="16" width="16.625" style="30" customWidth="1"/>
    <col min="17" max="17" width="23.125" style="30" customWidth="1"/>
    <col min="18" max="18" width="25" style="30" customWidth="1"/>
    <col min="19" max="19" width="89.375" style="30" customWidth="1"/>
    <col min="20" max="20" width="9.125" style="30" customWidth="1"/>
    <col min="21" max="21" width="6.75" style="30" customWidth="1"/>
    <col min="22" max="22" width="22" style="30" customWidth="1"/>
    <col min="23" max="23" width="16.625" style="30" customWidth="1"/>
    <col min="24" max="26" width="15.875" style="30" customWidth="1"/>
    <col min="27" max="16384" width="56" style="30"/>
  </cols>
  <sheetData>
    <row r="1" spans="2:27" ht="27.6" customHeight="1">
      <c r="B1" s="1570" t="s">
        <v>193</v>
      </c>
      <c r="C1" s="30" t="s">
        <v>194</v>
      </c>
    </row>
    <row r="2" spans="2:27" ht="15">
      <c r="B2" s="1570"/>
      <c r="C2" s="954" t="s">
        <v>195</v>
      </c>
      <c r="D2" s="955" t="s">
        <v>196</v>
      </c>
      <c r="E2" s="955" t="s">
        <v>197</v>
      </c>
      <c r="F2" s="955" t="s">
        <v>198</v>
      </c>
      <c r="G2" s="955" t="s">
        <v>199</v>
      </c>
      <c r="H2" s="955" t="s">
        <v>28</v>
      </c>
      <c r="I2" s="956" t="s">
        <v>195</v>
      </c>
      <c r="J2" s="956" t="s">
        <v>200</v>
      </c>
      <c r="M2" s="957"/>
      <c r="N2" s="958" t="s">
        <v>201</v>
      </c>
      <c r="V2" s="958" t="s">
        <v>202</v>
      </c>
      <c r="W2" s="958"/>
    </row>
    <row r="3" spans="2:27" ht="45">
      <c r="B3" s="1570"/>
      <c r="C3" s="959" t="s">
        <v>203</v>
      </c>
      <c r="D3" s="959" t="s">
        <v>4</v>
      </c>
      <c r="E3" s="959" t="s">
        <v>204</v>
      </c>
      <c r="F3" s="960" t="s">
        <v>1719</v>
      </c>
      <c r="G3" s="960" t="s">
        <v>4230</v>
      </c>
      <c r="H3" s="961">
        <v>1.8800000000000001E-2</v>
      </c>
      <c r="I3" s="962" t="s">
        <v>206</v>
      </c>
      <c r="J3" s="963" t="s">
        <v>4261</v>
      </c>
      <c r="N3" s="964" t="s">
        <v>4089</v>
      </c>
      <c r="O3" s="965" t="s">
        <v>3922</v>
      </c>
      <c r="Q3" s="966" t="s">
        <v>3920</v>
      </c>
      <c r="V3" s="967" t="s">
        <v>4235</v>
      </c>
      <c r="Y3" s="968" t="s">
        <v>4236</v>
      </c>
    </row>
    <row r="4" spans="2:27" ht="72" thickBot="1">
      <c r="B4" s="1570"/>
      <c r="N4" s="969"/>
      <c r="O4" s="1571" t="s">
        <v>207</v>
      </c>
      <c r="P4" s="1571"/>
      <c r="Q4" s="1571"/>
      <c r="R4" s="1571"/>
      <c r="V4" s="970" t="s">
        <v>4</v>
      </c>
      <c r="W4" s="971" t="s">
        <v>4263</v>
      </c>
      <c r="Y4" s="972" t="s">
        <v>318</v>
      </c>
      <c r="Z4" s="972" t="s">
        <v>4237</v>
      </c>
      <c r="AA4" s="972" t="s">
        <v>4238</v>
      </c>
    </row>
    <row r="5" spans="2:27" ht="33" customHeight="1" thickBot="1">
      <c r="B5" s="1570"/>
      <c r="C5" s="973" t="s">
        <v>219</v>
      </c>
      <c r="D5" s="974"/>
      <c r="E5" s="975" t="s">
        <v>4231</v>
      </c>
      <c r="N5" s="976" t="s">
        <v>210</v>
      </c>
      <c r="O5" s="976" t="s">
        <v>211</v>
      </c>
      <c r="P5" s="976" t="s">
        <v>212</v>
      </c>
      <c r="Q5" s="976" t="s">
        <v>213</v>
      </c>
      <c r="R5" s="976" t="s">
        <v>214</v>
      </c>
      <c r="V5" s="977" t="s">
        <v>1728</v>
      </c>
      <c r="W5" s="978">
        <f>MEDIAN(W6:W42)</f>
        <v>35</v>
      </c>
      <c r="Y5" s="952" t="s">
        <v>1053</v>
      </c>
      <c r="Z5" s="979">
        <v>0.16426804695000002</v>
      </c>
      <c r="AA5" s="980">
        <v>0.16426804695000002</v>
      </c>
    </row>
    <row r="6" spans="2:27" ht="15">
      <c r="B6" s="1570"/>
      <c r="C6" s="106" t="s">
        <v>4136</v>
      </c>
      <c r="N6" s="981" t="s">
        <v>215</v>
      </c>
      <c r="O6" s="982">
        <v>0.05</v>
      </c>
      <c r="P6" s="982">
        <v>0.02</v>
      </c>
      <c r="Q6" s="982">
        <v>0.01</v>
      </c>
      <c r="R6" s="983" t="s">
        <v>216</v>
      </c>
      <c r="V6" s="984" t="s">
        <v>218</v>
      </c>
      <c r="W6" s="985">
        <v>35</v>
      </c>
      <c r="Y6" s="952" t="s">
        <v>4210</v>
      </c>
      <c r="Z6" s="979">
        <v>0.68448441551500006</v>
      </c>
      <c r="AA6" s="979">
        <v>0.68448441551500006</v>
      </c>
    </row>
    <row r="7" spans="2:27" ht="15.75" thickBot="1">
      <c r="B7" s="1570"/>
      <c r="N7" s="981" t="s">
        <v>217</v>
      </c>
      <c r="O7" s="982">
        <v>7.0000000000000007E-2</v>
      </c>
      <c r="P7" s="986">
        <v>0.89</v>
      </c>
      <c r="Q7" s="982">
        <v>0.05</v>
      </c>
      <c r="R7" s="983" t="s">
        <v>216</v>
      </c>
      <c r="S7" s="987" t="s">
        <v>3919</v>
      </c>
      <c r="V7" s="984" t="s">
        <v>221</v>
      </c>
      <c r="W7" s="988">
        <v>12.2</v>
      </c>
    </row>
    <row r="8" spans="2:27" ht="15">
      <c r="B8" s="1570"/>
      <c r="C8" s="989"/>
      <c r="D8" s="990" t="s">
        <v>4180</v>
      </c>
      <c r="E8" s="990"/>
      <c r="F8" s="991"/>
      <c r="G8" s="992" t="s">
        <v>4181</v>
      </c>
      <c r="H8" s="990"/>
      <c r="I8" s="990"/>
      <c r="J8" s="991"/>
      <c r="N8" s="981" t="s">
        <v>220</v>
      </c>
      <c r="O8" s="982">
        <v>0.23</v>
      </c>
      <c r="P8" s="982">
        <v>0.02</v>
      </c>
      <c r="Q8" s="982">
        <v>0.01</v>
      </c>
      <c r="R8" s="983" t="s">
        <v>216</v>
      </c>
      <c r="S8" s="993"/>
      <c r="V8" s="984" t="s">
        <v>223</v>
      </c>
      <c r="W8" s="988">
        <v>8.6999999999999993</v>
      </c>
    </row>
    <row r="9" spans="2:27" ht="30">
      <c r="B9" s="1570"/>
      <c r="C9" s="994" t="s">
        <v>4112</v>
      </c>
      <c r="D9" s="995" t="s">
        <v>4137</v>
      </c>
      <c r="E9" s="996" t="s">
        <v>4179</v>
      </c>
      <c r="F9" s="997" t="s">
        <v>4113</v>
      </c>
      <c r="G9" s="998" t="s">
        <v>4186</v>
      </c>
      <c r="H9" s="996" t="s">
        <v>4179</v>
      </c>
      <c r="I9" s="995" t="s">
        <v>4114</v>
      </c>
      <c r="J9" s="997" t="s">
        <v>4178</v>
      </c>
      <c r="N9" s="981" t="s">
        <v>222</v>
      </c>
      <c r="O9" s="982">
        <v>0.22</v>
      </c>
      <c r="P9" s="982">
        <v>0.02</v>
      </c>
      <c r="Q9" s="982">
        <v>2.34</v>
      </c>
      <c r="R9" s="983" t="s">
        <v>216</v>
      </c>
      <c r="S9" s="993"/>
      <c r="V9" s="984" t="s">
        <v>227</v>
      </c>
      <c r="W9" s="988">
        <v>7.4</v>
      </c>
    </row>
    <row r="10" spans="2:27" ht="15">
      <c r="B10" s="1570"/>
      <c r="C10" s="999" t="s">
        <v>236</v>
      </c>
      <c r="D10" s="1000" t="s">
        <v>10</v>
      </c>
      <c r="E10" s="1001" t="s">
        <v>253</v>
      </c>
      <c r="F10" s="1002" cm="1">
        <f t="array" ref="F10">SUMPRODUCT(('DESNZ fuels &amp; biofuels'!$D$3:$D$120=EF!D10)*('DESNZ fuels &amp; biofuels'!$G$3:$G$120=EF!E10)*'DESNZ fuels &amp; biofuels'!$K$3:$K$120)</f>
        <v>0.33660000000000001</v>
      </c>
      <c r="G10" s="999" t="s">
        <v>10</v>
      </c>
      <c r="H10" s="1001" t="s">
        <v>1982</v>
      </c>
      <c r="I10" s="1001">
        <f>F10</f>
        <v>0.33660000000000001</v>
      </c>
      <c r="J10" s="1003" t="s">
        <v>4185</v>
      </c>
      <c r="N10" s="981" t="s">
        <v>226</v>
      </c>
      <c r="O10" s="982">
        <v>0.09</v>
      </c>
      <c r="P10" s="986">
        <v>0.75</v>
      </c>
      <c r="Q10" s="982">
        <v>0.11</v>
      </c>
      <c r="R10" s="983" t="s">
        <v>216</v>
      </c>
      <c r="S10" s="993"/>
      <c r="V10" s="984" t="s">
        <v>42</v>
      </c>
      <c r="W10" s="988">
        <v>27.6</v>
      </c>
    </row>
    <row r="11" spans="2:27" ht="15">
      <c r="B11" s="1570"/>
      <c r="C11" s="999" t="s">
        <v>236</v>
      </c>
      <c r="D11" s="1000" t="s">
        <v>247</v>
      </c>
      <c r="E11" s="1001" t="s">
        <v>241</v>
      </c>
      <c r="F11" s="1002" cm="1">
        <f t="array" ref="F11">SUMPRODUCT(('DESNZ fuels &amp; biofuels'!$D$3:$D$120=EF!D11)*('DESNZ fuels &amp; biofuels'!$G$3:$G$120=EF!E11)*'DESNZ fuels &amp; biofuels'!$K$3:$K$120)</f>
        <v>0.18551000000000001</v>
      </c>
      <c r="G11" s="999" t="s">
        <v>2056</v>
      </c>
      <c r="H11" s="1001" t="s">
        <v>12</v>
      </c>
      <c r="I11" s="1001">
        <f>F11*'Fuel properties'!$G$29/1000</f>
        <v>0.35018444434999996</v>
      </c>
      <c r="J11" s="1003" t="s">
        <v>4184</v>
      </c>
      <c r="N11" s="981" t="s">
        <v>235</v>
      </c>
      <c r="O11" s="982" t="s">
        <v>216</v>
      </c>
      <c r="P11" s="986">
        <v>0.54</v>
      </c>
      <c r="Q11" s="982">
        <v>0.05</v>
      </c>
      <c r="R11" s="1004">
        <v>0.13</v>
      </c>
      <c r="S11" s="993"/>
      <c r="V11" s="984" t="s">
        <v>43</v>
      </c>
      <c r="W11" s="988">
        <v>53.5</v>
      </c>
    </row>
    <row r="12" spans="2:27" ht="28.5">
      <c r="B12" s="1570"/>
      <c r="C12" s="1005" t="s">
        <v>239</v>
      </c>
      <c r="D12" s="1006" t="s">
        <v>251</v>
      </c>
      <c r="E12" s="1007" t="s">
        <v>241</v>
      </c>
      <c r="F12" s="1008" cm="1">
        <f t="array" ref="F12">SUMPRODUCT(('DESNZ fuels &amp; biofuels'!$D$3:$D$120=EF!D12)*('DESNZ fuels &amp; biofuels'!$G$3:$G$120=EF!E12)*'DESNZ fuels &amp; biofuels'!$K$3:$K$120)</f>
        <v>0.61101000000000005</v>
      </c>
      <c r="G12" s="1005" t="s">
        <v>16</v>
      </c>
      <c r="H12" s="1007" t="s">
        <v>1985</v>
      </c>
      <c r="I12" s="1007">
        <f t="shared" ref="I12:I15" si="0">F12</f>
        <v>0.61101000000000005</v>
      </c>
      <c r="J12" s="1009" t="s">
        <v>4183</v>
      </c>
      <c r="N12" s="981" t="s">
        <v>238</v>
      </c>
      <c r="O12" s="982" t="s">
        <v>216</v>
      </c>
      <c r="P12" s="986">
        <v>0.57999999999999996</v>
      </c>
      <c r="Q12" s="982">
        <v>0.43</v>
      </c>
      <c r="R12" s="983" t="s">
        <v>216</v>
      </c>
      <c r="S12" s="1010">
        <f>P12*1000*0.00110231</f>
        <v>0.63933980000000001</v>
      </c>
      <c r="T12" s="30" t="s">
        <v>4292</v>
      </c>
      <c r="V12" s="984" t="s">
        <v>44</v>
      </c>
      <c r="W12" s="988">
        <v>14.7</v>
      </c>
    </row>
    <row r="13" spans="2:27" ht="28.5">
      <c r="B13" s="1570"/>
      <c r="C13" s="1005" t="s">
        <v>239</v>
      </c>
      <c r="D13" s="1006" t="s">
        <v>4039</v>
      </c>
      <c r="E13" s="1007" t="s">
        <v>241</v>
      </c>
      <c r="F13" s="1008" cm="1">
        <f t="array" ref="F13">SUMPRODUCT(('DESNZ fuels &amp; biofuels'!$D$3:$D$120=EF!D13)*('DESNZ fuels &amp; biofuels'!$G$3:$G$120=EF!E13)*'DESNZ fuels &amp; biofuels'!$K$3:$K$120)</f>
        <v>0.58094000000000001</v>
      </c>
      <c r="G13" s="1005" t="s">
        <v>17</v>
      </c>
      <c r="H13" s="1007" t="s">
        <v>1985</v>
      </c>
      <c r="I13" s="1007">
        <f t="shared" si="0"/>
        <v>0.58094000000000001</v>
      </c>
      <c r="J13" s="1009" t="s">
        <v>4183</v>
      </c>
      <c r="N13" s="981" t="s">
        <v>3921</v>
      </c>
      <c r="O13" s="1004">
        <v>0.02</v>
      </c>
      <c r="P13" s="982">
        <v>0.02</v>
      </c>
      <c r="Q13" s="986">
        <v>0.96</v>
      </c>
      <c r="R13" s="1011" t="s">
        <v>216</v>
      </c>
      <c r="S13" s="993"/>
      <c r="V13" s="984" t="s">
        <v>45</v>
      </c>
      <c r="W13" s="988">
        <v>4.7</v>
      </c>
    </row>
    <row r="14" spans="2:27" ht="15">
      <c r="B14" s="1570"/>
      <c r="C14" s="1005" t="s">
        <v>239</v>
      </c>
      <c r="D14" s="1006" t="s">
        <v>246</v>
      </c>
      <c r="E14" s="1007" t="s">
        <v>241</v>
      </c>
      <c r="F14" s="1008" cm="1">
        <f t="array" ref="F14">SUMPRODUCT(('DESNZ fuels &amp; biofuels'!$D$3:$D$120=EF!D14)*('DESNZ fuels &amp; biofuels'!$G$3:$G$120=EF!E14)*'DESNZ fuels &amp; biofuels'!$K$3:$K$120)</f>
        <v>0.69538999999999995</v>
      </c>
      <c r="G14" s="1005" t="s">
        <v>4111</v>
      </c>
      <c r="H14" s="1007" t="s">
        <v>1985</v>
      </c>
      <c r="I14" s="1007">
        <f t="shared" si="0"/>
        <v>0.69538999999999995</v>
      </c>
      <c r="J14" s="1009" t="s">
        <v>4183</v>
      </c>
      <c r="N14" s="1012" t="s">
        <v>217</v>
      </c>
      <c r="V14" s="984" t="s">
        <v>46</v>
      </c>
      <c r="W14" s="988">
        <v>44.2</v>
      </c>
    </row>
    <row r="15" spans="2:27" ht="15">
      <c r="B15" s="1570"/>
      <c r="C15" s="1005" t="s">
        <v>239</v>
      </c>
      <c r="D15" s="1013" t="s">
        <v>4035</v>
      </c>
      <c r="E15" s="1007" t="s">
        <v>241</v>
      </c>
      <c r="F15" s="1008" cm="1">
        <f t="array" ref="F15">SUMPRODUCT(('DESNZ fuels &amp; biofuels'!$D$3:$D$120=EF!D15)*('DESNZ fuels &amp; biofuels'!$G$3:$G$120=EF!E15)*'DESNZ fuels &amp; biofuels'!$K$3:$K$120)</f>
        <v>0.53078000000000003</v>
      </c>
      <c r="G15" s="1005" t="s">
        <v>2069</v>
      </c>
      <c r="H15" s="1007" t="s">
        <v>1985</v>
      </c>
      <c r="I15" s="1007">
        <f t="shared" si="0"/>
        <v>0.53078000000000003</v>
      </c>
      <c r="J15" s="1009" t="s">
        <v>4183</v>
      </c>
      <c r="N15" s="1014" t="s">
        <v>211</v>
      </c>
      <c r="V15" s="984" t="s">
        <v>47</v>
      </c>
      <c r="W15" s="988">
        <v>6.7</v>
      </c>
    </row>
    <row r="16" spans="2:27" ht="15">
      <c r="B16" s="1570"/>
      <c r="C16" s="1015" t="s">
        <v>4059</v>
      </c>
      <c r="D16" s="1016" t="s">
        <v>4060</v>
      </c>
      <c r="E16" s="1017" t="s">
        <v>1719</v>
      </c>
      <c r="F16" s="1018">
        <f>F40+F41</f>
        <v>3.517E-2</v>
      </c>
      <c r="G16" s="1015" t="str">
        <f>D16</f>
        <v>District Heating</v>
      </c>
      <c r="H16" s="1017" t="s">
        <v>1887</v>
      </c>
      <c r="I16" s="1017">
        <f>(I40+I41)</f>
        <v>1.0307737397420868E-2</v>
      </c>
      <c r="J16" s="1019" t="s">
        <v>4182</v>
      </c>
      <c r="K16" s="1020" t="s">
        <v>4066</v>
      </c>
      <c r="N16" s="1021" t="s">
        <v>212</v>
      </c>
      <c r="O16" s="968" t="s">
        <v>4234</v>
      </c>
      <c r="V16" s="984" t="s">
        <v>48</v>
      </c>
      <c r="W16" s="988">
        <v>13.2</v>
      </c>
    </row>
    <row r="17" spans="2:23" ht="36">
      <c r="B17" s="1570"/>
      <c r="C17" s="1015" t="s">
        <v>4069</v>
      </c>
      <c r="D17" s="1016" t="s">
        <v>4061</v>
      </c>
      <c r="E17" s="1017" t="s">
        <v>1719</v>
      </c>
      <c r="F17" s="1018">
        <f>E29+(E33*0.921)</f>
        <v>7.4114799999999995E-2</v>
      </c>
      <c r="G17" s="1015" t="str">
        <f>D17</f>
        <v>Chilled water</v>
      </c>
      <c r="H17" s="1017" t="s">
        <v>1887</v>
      </c>
      <c r="I17" s="1017">
        <f>F17/$C$44</f>
        <v>2.1721805392731535E-2</v>
      </c>
      <c r="J17" s="1019" t="s">
        <v>4182</v>
      </c>
      <c r="K17" s="1022" t="s">
        <v>4068</v>
      </c>
      <c r="N17" s="1023" t="s">
        <v>213</v>
      </c>
      <c r="V17" s="984" t="s">
        <v>250</v>
      </c>
      <c r="W17" s="988">
        <v>51.5</v>
      </c>
    </row>
    <row r="18" spans="2:23" ht="18">
      <c r="B18" s="1570"/>
      <c r="C18" s="1024" t="s">
        <v>4115</v>
      </c>
      <c r="D18" s="1025" t="s">
        <v>4050</v>
      </c>
      <c r="E18" s="1025" t="s">
        <v>1607</v>
      </c>
      <c r="F18" s="1026" cm="1">
        <f t="array" ref="F18">SUMPRODUCT(('DESNZ fuels &amp; biofuels'!$D$3:$D$120=EF!D18)*('DESNZ fuels &amp; biofuels'!$G$3:$G$120=EF!E18)*'DESNZ fuels &amp; biofuels'!$K$3:$K$120)</f>
        <v>470.95724000000001</v>
      </c>
      <c r="G18" s="1024" t="s">
        <v>19</v>
      </c>
      <c r="H18" s="1025" t="s">
        <v>12</v>
      </c>
      <c r="I18" s="1025">
        <f>F18/1000</f>
        <v>0.47095724</v>
      </c>
      <c r="J18" s="1027" t="s">
        <v>4184</v>
      </c>
      <c r="O18" s="1028" t="s">
        <v>248</v>
      </c>
      <c r="P18" s="1028" t="s">
        <v>33</v>
      </c>
      <c r="Q18" s="1028" t="s">
        <v>0</v>
      </c>
      <c r="R18" s="1029" t="s">
        <v>249</v>
      </c>
      <c r="V18" s="984" t="s">
        <v>49</v>
      </c>
      <c r="W18" s="988">
        <v>58.9</v>
      </c>
    </row>
    <row r="19" spans="2:23" ht="15" customHeight="1">
      <c r="B19" s="1570"/>
      <c r="C19" s="1030" t="s">
        <v>4129</v>
      </c>
      <c r="D19" s="1031" t="s">
        <v>4131</v>
      </c>
      <c r="E19" s="1031" t="s">
        <v>1607</v>
      </c>
      <c r="F19" s="1032" cm="1">
        <f t="array" ref="F19">SUMPRODUCT(('DESNZ fuels &amp; biofuels'!$P$3:$P$120=EF!D19)*('DESNZ fuels &amp; biofuels'!$S$3:$S$120=EF!E19)*'DESNZ fuels &amp; biofuels'!$T$3:$T$120)</f>
        <v>30.4</v>
      </c>
      <c r="G19" s="1030" t="s">
        <v>30</v>
      </c>
      <c r="H19" s="1031" t="s">
        <v>12</v>
      </c>
      <c r="I19" s="1031">
        <f>F19/1000</f>
        <v>3.04E-2</v>
      </c>
      <c r="J19" s="1032" t="s">
        <v>4184</v>
      </c>
      <c r="N19" s="1012" t="s">
        <v>220</v>
      </c>
      <c r="O19" s="1572" t="s">
        <v>252</v>
      </c>
      <c r="P19" s="1568" t="s">
        <v>4265</v>
      </c>
      <c r="Q19" s="1029" t="s">
        <v>253</v>
      </c>
      <c r="R19" s="1033">
        <v>0.1913</v>
      </c>
      <c r="V19" s="984" t="s">
        <v>50</v>
      </c>
      <c r="W19" s="988">
        <v>62.7</v>
      </c>
    </row>
    <row r="20" spans="2:23" ht="28.5">
      <c r="B20" s="1570"/>
      <c r="C20" s="1030" t="s">
        <v>4116</v>
      </c>
      <c r="D20" s="1034" t="s">
        <v>4120</v>
      </c>
      <c r="E20" s="1031" t="s">
        <v>241</v>
      </c>
      <c r="F20" s="1032" cm="1">
        <f t="array" ref="F20">SUMPRODUCT(('DESNZ fuels &amp; biofuels'!$P$3:$P$120=EF!D20)*('DESNZ fuels &amp; biofuels'!$S$3:$S$120=EF!E20)*'DESNZ fuels &amp; biofuels'!$T$3:$T$120)</f>
        <v>0.35339999999999999</v>
      </c>
      <c r="G20" s="1030" t="s">
        <v>18</v>
      </c>
      <c r="H20" s="1031" t="s">
        <v>1985</v>
      </c>
      <c r="I20" s="1031">
        <f t="shared" ref="I20" si="1">F20</f>
        <v>0.35339999999999999</v>
      </c>
      <c r="J20" s="1032" t="s">
        <v>4183</v>
      </c>
      <c r="N20" s="1014" t="s">
        <v>211</v>
      </c>
      <c r="O20" s="1573"/>
      <c r="P20" s="1569"/>
      <c r="Q20" s="1029" t="s">
        <v>255</v>
      </c>
      <c r="R20" s="1033">
        <v>191.30155999999999</v>
      </c>
      <c r="V20" s="984" t="s">
        <v>51</v>
      </c>
      <c r="W20" s="988">
        <v>14.3</v>
      </c>
    </row>
    <row r="21" spans="2:23" ht="51.75" customHeight="1">
      <c r="B21" s="1570"/>
      <c r="C21" s="1030" t="s">
        <v>4116</v>
      </c>
      <c r="D21" s="1035" t="s">
        <v>4117</v>
      </c>
      <c r="E21" s="1031" t="s">
        <v>241</v>
      </c>
      <c r="F21" s="1032" cm="1">
        <f t="array" ref="F21">SUMPRODUCT(('DESNZ fuels &amp; biofuels'!$P$3:$P$120=EF!D21)*('DESNZ fuels &amp; biofuels'!$S$3:$S$120=EF!E21)*'DESNZ fuels &amp; biofuels'!$T$3:$T$120)</f>
        <v>0.61516000000000004</v>
      </c>
      <c r="G21" s="1036" t="s">
        <v>2111</v>
      </c>
      <c r="H21" s="1031" t="s">
        <v>1985</v>
      </c>
      <c r="I21" s="1035">
        <f>F21</f>
        <v>0.61516000000000004</v>
      </c>
      <c r="J21" s="1032" t="s">
        <v>4183</v>
      </c>
      <c r="N21" s="1021" t="s">
        <v>212</v>
      </c>
      <c r="O21" s="1028" t="s">
        <v>248</v>
      </c>
      <c r="P21" s="1028" t="s">
        <v>33</v>
      </c>
      <c r="Q21" s="1028" t="s">
        <v>0</v>
      </c>
      <c r="R21" s="1029" t="s">
        <v>249</v>
      </c>
      <c r="V21" s="984" t="s">
        <v>52</v>
      </c>
      <c r="W21" s="988">
        <v>39</v>
      </c>
    </row>
    <row r="22" spans="2:23" ht="15" customHeight="1">
      <c r="B22" s="1570"/>
      <c r="C22" s="1037"/>
      <c r="D22" s="1038"/>
      <c r="E22" s="1039"/>
      <c r="F22" s="1039"/>
      <c r="G22" s="1040" t="s">
        <v>10</v>
      </c>
      <c r="H22" s="1041" t="s">
        <v>1623</v>
      </c>
      <c r="I22" s="1039">
        <f>'DESNZ fuels &amp; biofuels'!K20/$C$44</f>
        <v>8.8540445486518168E-3</v>
      </c>
      <c r="J22" s="1019" t="s">
        <v>4182</v>
      </c>
      <c r="K22" s="1042" t="s">
        <v>4188</v>
      </c>
      <c r="N22" s="1023" t="s">
        <v>213</v>
      </c>
      <c r="O22" s="1568" t="s">
        <v>257</v>
      </c>
      <c r="P22" s="1568" t="s">
        <v>4266</v>
      </c>
      <c r="Q22" s="1029" t="s">
        <v>253</v>
      </c>
      <c r="R22" s="1033">
        <v>0.17088</v>
      </c>
      <c r="V22" s="984" t="s">
        <v>53</v>
      </c>
      <c r="W22" s="988">
        <v>68.900000000000006</v>
      </c>
    </row>
    <row r="23" spans="2:23" ht="15">
      <c r="B23" s="1570"/>
      <c r="C23" s="1024" t="s">
        <v>239</v>
      </c>
      <c r="D23" s="1043" t="s">
        <v>240</v>
      </c>
      <c r="E23" s="1025" t="s">
        <v>241</v>
      </c>
      <c r="F23" s="1026" cm="1">
        <f t="array" ref="F23">SUMPRODUCT(('DESNZ fuels &amp; biofuels'!$D$3:$D$120=EF!D23)*('DESNZ fuels &amp; biofuels'!$G$3:$G$120=EF!E23)*'DESNZ fuels &amp; biofuels'!$K$3:$K$120)</f>
        <v>0.61424999999999996</v>
      </c>
      <c r="G23" s="1024" t="s">
        <v>242</v>
      </c>
      <c r="H23" s="1025" t="s">
        <v>1985</v>
      </c>
      <c r="I23" s="1025">
        <f>F23</f>
        <v>0.61424999999999996</v>
      </c>
      <c r="J23" s="1027" t="s">
        <v>4176</v>
      </c>
      <c r="K23" s="30" t="s">
        <v>4106</v>
      </c>
      <c r="O23" s="1569"/>
      <c r="P23" s="1569"/>
      <c r="Q23" s="1029" t="s">
        <v>255</v>
      </c>
      <c r="R23" s="1044">
        <v>170.87549000000001</v>
      </c>
      <c r="V23" s="984" t="s">
        <v>261</v>
      </c>
      <c r="W23" s="988">
        <v>55.8</v>
      </c>
    </row>
    <row r="24" spans="2:23" ht="15">
      <c r="B24" s="1570"/>
      <c r="C24" s="1024" t="s">
        <v>239</v>
      </c>
      <c r="D24" s="1043" t="s">
        <v>243</v>
      </c>
      <c r="E24" s="1025" t="s">
        <v>241</v>
      </c>
      <c r="F24" s="1026" cm="1">
        <f t="array" ref="F24">SUMPRODUCT(('DESNZ fuels &amp; biofuels'!$D$3:$D$120=EF!D24)*('DESNZ fuels &amp; biofuels'!$G$3:$G$120=EF!E24)*'DESNZ fuels &amp; biofuels'!$K$3:$K$120)</f>
        <v>0.52817000000000003</v>
      </c>
      <c r="G24" s="1024" t="s">
        <v>244</v>
      </c>
      <c r="H24" s="1025" t="s">
        <v>1985</v>
      </c>
      <c r="I24" s="1025">
        <f>F24</f>
        <v>0.52817000000000003</v>
      </c>
      <c r="J24" s="1027" t="s">
        <v>4176</v>
      </c>
      <c r="K24" s="30" t="s">
        <v>4106</v>
      </c>
      <c r="N24" s="1012" t="s">
        <v>222</v>
      </c>
      <c r="V24" s="984" t="s">
        <v>54</v>
      </c>
      <c r="W24" s="988">
        <v>61.5</v>
      </c>
    </row>
    <row r="25" spans="2:23" ht="15.75" thickBot="1">
      <c r="B25" s="1570"/>
      <c r="C25" s="1045" t="s">
        <v>236</v>
      </c>
      <c r="D25" s="1046" t="s">
        <v>254</v>
      </c>
      <c r="E25" s="1047" t="s">
        <v>241</v>
      </c>
      <c r="F25" s="1048" cm="1">
        <f t="array" ref="F25">SUMPRODUCT(('DESNZ fuels &amp; biofuels'!$D$3:$D$120=EF!D25)*('DESNZ fuels &amp; biofuels'!$G$3:$G$120=EF!E25)*'DESNZ fuels &amp; biofuels'!$K$3:$K$120)</f>
        <v>9.289E-2</v>
      </c>
      <c r="G25" s="1045" t="s">
        <v>254</v>
      </c>
      <c r="H25" s="1047" t="s">
        <v>1985</v>
      </c>
      <c r="I25" s="1047">
        <f>F25</f>
        <v>9.289E-2</v>
      </c>
      <c r="J25" s="1049" t="s">
        <v>4176</v>
      </c>
      <c r="K25" s="30" t="s">
        <v>4106</v>
      </c>
      <c r="N25" s="1014" t="s">
        <v>211</v>
      </c>
      <c r="V25" s="984" t="s">
        <v>55</v>
      </c>
      <c r="W25" s="988">
        <v>152.19999999999999</v>
      </c>
    </row>
    <row r="26" spans="2:23" ht="15">
      <c r="B26" s="953"/>
      <c r="N26" s="1021" t="s">
        <v>212</v>
      </c>
      <c r="P26" s="968" t="s">
        <v>4291</v>
      </c>
      <c r="V26" s="984" t="s">
        <v>56</v>
      </c>
      <c r="W26" s="988">
        <v>19.3</v>
      </c>
    </row>
    <row r="27" spans="2:23" ht="42.75">
      <c r="B27" s="953"/>
      <c r="C27" s="30" t="s">
        <v>256</v>
      </c>
      <c r="N27" s="1023" t="s">
        <v>213</v>
      </c>
      <c r="P27" s="1050" t="s">
        <v>318</v>
      </c>
      <c r="Q27" s="1050" t="s">
        <v>4237</v>
      </c>
      <c r="R27" s="1050" t="s">
        <v>4289</v>
      </c>
      <c r="V27" s="984" t="s">
        <v>57</v>
      </c>
      <c r="W27" s="988">
        <v>14.8</v>
      </c>
    </row>
    <row r="28" spans="2:23" ht="28.5" customHeight="1">
      <c r="B28" s="953"/>
      <c r="C28" s="954" t="s">
        <v>4</v>
      </c>
      <c r="D28" s="955" t="s">
        <v>258</v>
      </c>
      <c r="E28" s="955" t="s">
        <v>259</v>
      </c>
      <c r="F28" s="955" t="s">
        <v>209</v>
      </c>
      <c r="G28" s="955" t="s">
        <v>1</v>
      </c>
      <c r="H28" s="956" t="s">
        <v>195</v>
      </c>
      <c r="P28" s="1050" t="s">
        <v>4286</v>
      </c>
      <c r="Q28" s="1051">
        <v>7.4374522492500015</v>
      </c>
      <c r="R28" s="1051">
        <v>7.4374522492500015</v>
      </c>
      <c r="S28" s="1052" t="s">
        <v>4300</v>
      </c>
      <c r="V28" s="984" t="s">
        <v>58</v>
      </c>
      <c r="W28" s="988">
        <v>90.3</v>
      </c>
    </row>
    <row r="29" spans="2:23" ht="28.5" customHeight="1">
      <c r="C29" s="1053" t="s">
        <v>204</v>
      </c>
      <c r="D29" s="1054"/>
      <c r="E29" s="1054">
        <v>5.6799999999999996E-2</v>
      </c>
      <c r="F29" s="1054" t="s">
        <v>260</v>
      </c>
      <c r="G29" s="1054">
        <v>2024</v>
      </c>
      <c r="H29" s="1055" t="s">
        <v>4232</v>
      </c>
      <c r="N29" s="1012" t="s">
        <v>226</v>
      </c>
      <c r="P29" s="1050" t="s">
        <v>4285</v>
      </c>
      <c r="Q29" s="1051">
        <v>1.3519400306</v>
      </c>
      <c r="R29" s="1051">
        <v>1.3519400306</v>
      </c>
      <c r="S29" s="1052" t="s">
        <v>4301</v>
      </c>
      <c r="V29" s="984" t="s">
        <v>59</v>
      </c>
      <c r="W29" s="988">
        <v>54.3</v>
      </c>
    </row>
    <row r="30" spans="2:23" ht="28.5" customHeight="1">
      <c r="C30" s="30" t="s">
        <v>262</v>
      </c>
      <c r="N30" s="1014" t="s">
        <v>211</v>
      </c>
      <c r="P30" s="1050" t="s">
        <v>4287</v>
      </c>
      <c r="Q30" s="1051">
        <v>4.9846150213999998</v>
      </c>
      <c r="R30" s="1051">
        <v>4.9846150213999998</v>
      </c>
      <c r="S30" s="1052" t="s">
        <v>4303</v>
      </c>
      <c r="V30" s="984" t="s">
        <v>60</v>
      </c>
      <c r="W30" s="988">
        <v>19</v>
      </c>
    </row>
    <row r="31" spans="2:23" ht="28.5" customHeight="1">
      <c r="C31" s="954" t="s">
        <v>4</v>
      </c>
      <c r="D31" s="955" t="s">
        <v>258</v>
      </c>
      <c r="E31" s="955" t="s">
        <v>208</v>
      </c>
      <c r="F31" s="955" t="s">
        <v>209</v>
      </c>
      <c r="G31" s="955" t="s">
        <v>1</v>
      </c>
      <c r="H31" s="956" t="s">
        <v>195</v>
      </c>
      <c r="N31" s="1021" t="s">
        <v>212</v>
      </c>
      <c r="P31" s="1050" t="s">
        <v>4288</v>
      </c>
      <c r="Q31" s="1051">
        <v>0.46690642625000001</v>
      </c>
      <c r="R31" s="1051">
        <v>0.46690642625000001</v>
      </c>
      <c r="S31" s="1052" t="s">
        <v>4302</v>
      </c>
      <c r="V31" s="984" t="s">
        <v>61</v>
      </c>
      <c r="W31" s="988">
        <v>86.2</v>
      </c>
    </row>
    <row r="32" spans="2:23" ht="15">
      <c r="C32" s="1053" t="s">
        <v>204</v>
      </c>
      <c r="D32" s="1054" t="s">
        <v>263</v>
      </c>
      <c r="E32" s="1056">
        <v>0.32780000000000004</v>
      </c>
      <c r="F32" s="1054" t="s">
        <v>260</v>
      </c>
      <c r="G32" s="1054">
        <v>2024</v>
      </c>
      <c r="H32" s="1055" t="s">
        <v>4232</v>
      </c>
      <c r="N32" s="1023" t="s">
        <v>213</v>
      </c>
      <c r="S32" s="1057"/>
      <c r="V32" s="984" t="s">
        <v>62</v>
      </c>
      <c r="W32" s="1058">
        <v>24.2</v>
      </c>
    </row>
    <row r="33" spans="2:23" ht="14.25" customHeight="1">
      <c r="C33" s="30" t="s">
        <v>204</v>
      </c>
      <c r="D33" s="30" t="s">
        <v>264</v>
      </c>
      <c r="E33" s="1059">
        <f>H3</f>
        <v>1.8800000000000001E-2</v>
      </c>
      <c r="F33" s="1054" t="s">
        <v>260</v>
      </c>
      <c r="G33" s="1054">
        <v>2024</v>
      </c>
      <c r="H33" s="1055" t="s">
        <v>4232</v>
      </c>
      <c r="P33" s="1060" t="s">
        <v>4290</v>
      </c>
      <c r="S33" s="1057"/>
      <c r="V33" s="984" t="s">
        <v>63</v>
      </c>
      <c r="W33" s="1058">
        <v>106.4</v>
      </c>
    </row>
    <row r="34" spans="2:23" ht="14.25" customHeight="1">
      <c r="C34" s="30" t="s">
        <v>204</v>
      </c>
      <c r="D34" s="30" t="s">
        <v>265</v>
      </c>
      <c r="E34" s="1061">
        <f>E33/E32</f>
        <v>5.7352043929225133E-2</v>
      </c>
      <c r="F34" s="1054"/>
      <c r="G34" s="1054"/>
      <c r="H34" s="1055"/>
      <c r="N34" s="1012" t="s">
        <v>235</v>
      </c>
      <c r="P34" s="1062" t="s">
        <v>4279</v>
      </c>
      <c r="Q34" s="1062" t="s">
        <v>4280</v>
      </c>
      <c r="R34" s="1062" t="s">
        <v>195</v>
      </c>
      <c r="S34" s="1057"/>
      <c r="V34" s="984" t="s">
        <v>64</v>
      </c>
      <c r="W34" s="1058">
        <v>24.5</v>
      </c>
    </row>
    <row r="35" spans="2:23" ht="15">
      <c r="E35" s="1063"/>
      <c r="N35" s="1014" t="s">
        <v>212</v>
      </c>
      <c r="P35" s="56" t="s">
        <v>4195</v>
      </c>
      <c r="Q35" s="56">
        <v>0.54900000000000004</v>
      </c>
      <c r="R35" s="56" t="s">
        <v>4281</v>
      </c>
      <c r="S35" s="1057"/>
      <c r="V35" s="984" t="s">
        <v>65</v>
      </c>
      <c r="W35" s="1058">
        <v>51.4</v>
      </c>
    </row>
    <row r="36" spans="2:23" ht="15">
      <c r="N36" s="1021" t="s">
        <v>213</v>
      </c>
      <c r="P36" s="56" t="s">
        <v>4278</v>
      </c>
      <c r="Q36" s="56">
        <v>1.744</v>
      </c>
      <c r="R36" s="56" t="s">
        <v>4281</v>
      </c>
      <c r="S36" s="1057"/>
      <c r="V36" s="984" t="s">
        <v>66</v>
      </c>
      <c r="W36" s="1058">
        <v>7</v>
      </c>
    </row>
    <row r="37" spans="2:23" ht="15.75">
      <c r="C37" s="1064" t="s">
        <v>4233</v>
      </c>
      <c r="D37" s="1065"/>
      <c r="E37" s="1065"/>
      <c r="F37" s="1065"/>
      <c r="G37" s="1065"/>
      <c r="H37" s="1065"/>
      <c r="I37" s="1065"/>
      <c r="J37" s="1065"/>
      <c r="N37" s="1023" t="s">
        <v>214</v>
      </c>
      <c r="S37" s="1057"/>
      <c r="V37" s="984" t="s">
        <v>67</v>
      </c>
      <c r="W37" s="1058">
        <v>6.6</v>
      </c>
    </row>
    <row r="38" spans="2:23" ht="15">
      <c r="C38" s="1065"/>
      <c r="D38" s="1065"/>
      <c r="E38" s="1066" t="s">
        <v>224</v>
      </c>
      <c r="F38" s="1067"/>
      <c r="G38" s="1068" t="s">
        <v>225</v>
      </c>
      <c r="H38" s="1068"/>
      <c r="I38" s="1068"/>
      <c r="J38" s="1065"/>
      <c r="P38" s="1060" t="s">
        <v>4331</v>
      </c>
      <c r="S38" s="1057"/>
      <c r="V38" s="984" t="s">
        <v>68</v>
      </c>
      <c r="W38" s="1058">
        <v>43.4</v>
      </c>
    </row>
    <row r="39" spans="2:23" ht="30">
      <c r="C39" s="1065" t="s">
        <v>228</v>
      </c>
      <c r="D39" s="1065" t="s">
        <v>229</v>
      </c>
      <c r="E39" s="1065" t="s">
        <v>230</v>
      </c>
      <c r="F39" s="1065" t="s">
        <v>231</v>
      </c>
      <c r="G39" s="1065" t="s">
        <v>232</v>
      </c>
      <c r="H39" s="1065" t="s">
        <v>233</v>
      </c>
      <c r="I39" s="1065" t="s">
        <v>234</v>
      </c>
      <c r="J39" s="1065" t="s">
        <v>209</v>
      </c>
      <c r="N39" s="1012" t="s">
        <v>238</v>
      </c>
      <c r="P39" s="1062" t="s">
        <v>248</v>
      </c>
      <c r="Q39" s="1062" t="s">
        <v>4282</v>
      </c>
      <c r="R39" s="1062" t="s">
        <v>195</v>
      </c>
      <c r="S39" s="1057"/>
      <c r="V39" s="984" t="s">
        <v>69</v>
      </c>
      <c r="W39" s="1058">
        <v>32.1</v>
      </c>
    </row>
    <row r="40" spans="2:23" ht="29.25">
      <c r="C40" s="1065" t="s">
        <v>4063</v>
      </c>
      <c r="D40" s="1065" t="s">
        <v>4059</v>
      </c>
      <c r="E40" s="1065" t="s">
        <v>1719</v>
      </c>
      <c r="F40" s="1069">
        <v>3.3410000000000002E-2</v>
      </c>
      <c r="G40" s="1065" t="s">
        <v>1886</v>
      </c>
      <c r="H40" s="1065" t="s">
        <v>1887</v>
      </c>
      <c r="I40" s="1065">
        <f>F40/$C$44</f>
        <v>9.7919109026963665E-3</v>
      </c>
      <c r="J40" s="1070" t="s">
        <v>4182</v>
      </c>
      <c r="N40" s="1014" t="s">
        <v>212</v>
      </c>
      <c r="P40" s="1071" t="s">
        <v>4283</v>
      </c>
      <c r="Q40" s="56">
        <v>2.4793599999999998</v>
      </c>
      <c r="R40" s="1071" t="s">
        <v>4284</v>
      </c>
      <c r="S40" s="1057"/>
      <c r="V40" s="984" t="s">
        <v>70</v>
      </c>
      <c r="W40" s="1058">
        <v>63.8</v>
      </c>
    </row>
    <row r="41" spans="2:23" ht="15">
      <c r="C41" s="30" t="s">
        <v>4064</v>
      </c>
      <c r="D41" s="1065" t="s">
        <v>4065</v>
      </c>
      <c r="E41" s="30" t="s">
        <v>1719</v>
      </c>
      <c r="F41" s="1072">
        <v>1.7600000000000001E-3</v>
      </c>
      <c r="G41" s="30" t="s">
        <v>1886</v>
      </c>
      <c r="H41" s="1073" t="s">
        <v>1887</v>
      </c>
      <c r="I41" s="1065">
        <f>F41/$C$44</f>
        <v>5.1582649472450175E-4</v>
      </c>
      <c r="J41" s="1070" t="s">
        <v>4182</v>
      </c>
      <c r="N41" s="1021" t="s">
        <v>213</v>
      </c>
      <c r="S41" s="1057"/>
      <c r="V41" s="984" t="s">
        <v>204</v>
      </c>
      <c r="W41" s="1058">
        <v>16.100000000000001</v>
      </c>
    </row>
    <row r="42" spans="2:23" ht="15">
      <c r="H42" s="280"/>
      <c r="S42" s="1057"/>
      <c r="V42" s="984" t="s">
        <v>71</v>
      </c>
      <c r="W42" s="1058">
        <v>38.5</v>
      </c>
    </row>
    <row r="43" spans="2:23" ht="15" thickBot="1">
      <c r="N43" s="1012" t="s">
        <v>3921</v>
      </c>
    </row>
    <row r="44" spans="2:23" ht="15" thickBot="1">
      <c r="B44" s="1074" t="s">
        <v>4187</v>
      </c>
      <c r="C44" s="1075">
        <v>3.4119999999999999</v>
      </c>
      <c r="D44" s="1076" t="s">
        <v>1623</v>
      </c>
      <c r="N44" s="30" t="s">
        <v>211</v>
      </c>
    </row>
    <row r="45" spans="2:23">
      <c r="B45" s="1077" t="s">
        <v>1625</v>
      </c>
      <c r="N45" s="1014" t="s">
        <v>212</v>
      </c>
    </row>
    <row r="46" spans="2:23">
      <c r="N46" s="1021" t="s">
        <v>213</v>
      </c>
    </row>
    <row r="48" spans="2:23">
      <c r="K48" s="1065"/>
      <c r="N48" s="1012" t="s">
        <v>215</v>
      </c>
    </row>
    <row r="49" spans="11:14">
      <c r="K49" s="1065"/>
      <c r="N49" s="1014" t="s">
        <v>211</v>
      </c>
    </row>
    <row r="50" spans="11:14">
      <c r="K50" s="1065"/>
      <c r="N50" s="1021" t="s">
        <v>212</v>
      </c>
    </row>
    <row r="51" spans="11:14">
      <c r="K51" s="1065"/>
      <c r="N51" s="1023" t="s">
        <v>213</v>
      </c>
    </row>
    <row r="52" spans="11:14">
      <c r="K52" s="1065"/>
    </row>
    <row r="53" spans="11:14">
      <c r="K53" s="1065"/>
    </row>
    <row r="95" ht="14.25" customHeight="1"/>
    <row r="100" ht="14.25" customHeight="1"/>
    <row r="102" ht="48" customHeight="1"/>
    <row r="104" ht="39.75" customHeight="1"/>
    <row r="106" ht="39.75" customHeight="1"/>
    <row r="150" ht="24.75" customHeight="1"/>
    <row r="260" ht="21" customHeight="1"/>
  </sheetData>
  <sheetProtection algorithmName="SHA-512" hashValue="qMuO+Pj1G75LVX2OVEACShkQsbxiRsetPZJ/NXl/SR1UezpzrDGrcJ5rIuGhh7kH8DWTHDCcIpgpZZcc3lqW7g==" saltValue="ll+rFrjD+m2fQ/+AqDBxGw==" spinCount="100000" sheet="1" objects="1" scenarios="1" selectLockedCells="1" selectUnlockedCells="1"/>
  <autoFilter ref="V4:W42" xr:uid="{C0848906-B105-45EE-B6B2-495C36A4FE09}"/>
  <sortState xmlns:xlrd2="http://schemas.microsoft.com/office/spreadsheetml/2017/richdata2" ref="V5:W31">
    <sortCondition ref="V5:V31"/>
  </sortState>
  <mergeCells count="6">
    <mergeCell ref="P22:P23"/>
    <mergeCell ref="B1:B25"/>
    <mergeCell ref="O4:R4"/>
    <mergeCell ref="P19:P20"/>
    <mergeCell ref="O22:O23"/>
    <mergeCell ref="O19:O20"/>
  </mergeCells>
  <phoneticPr fontId="196" type="noConversion"/>
  <dataValidations count="1">
    <dataValidation type="decimal" allowBlank="1" showInputMessage="1" showErrorMessage="1" error="Please enter a valid Number." prompt="Enter a Number." sqref="H3" xr:uid="{B70F1782-EA4B-4406-B662-30EEFAA2C10F}">
      <formula1>-99999.99999</formula1>
      <formula2>99999.99999</formula2>
    </dataValidation>
  </dataValidations>
  <hyperlinks>
    <hyperlink ref="O3" r:id="rId1" display="https://www.epa.gov/system/files/other-files/2025-01/ghg-emission-factors-hub-2025.xlsx" xr:uid="{CE78E9F9-5A01-4341-88A3-D03925A56877}"/>
    <hyperlink ref="B45" r:id="rId2" xr:uid="{2D1FEEDE-5967-4198-984D-C059C5D07935}"/>
  </hyperlinks>
  <pageMargins left="0.7" right="0.7" top="0.75" bottom="0.75" header="0.3" footer="0.3"/>
  <pageSetup orientation="portrait" horizontalDpi="1200" verticalDpi="1200" r:id="rId3"/>
  <legacyDrawing r:id="rId4"/>
  <tableParts count="8">
    <tablePart r:id="rId5"/>
    <tablePart r:id="rId6"/>
    <tablePart r:id="rId7"/>
    <tablePart r:id="rId8"/>
    <tablePart r:id="rId9"/>
    <tablePart r:id="rId10"/>
    <tablePart r:id="rId11"/>
    <tablePart r:id="rId1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9139D-A533-4831-B767-0FE228F44D8A}">
  <sheetPr codeName="Sheet34"/>
  <dimension ref="A2:AF324"/>
  <sheetViews>
    <sheetView zoomScale="90" zoomScaleNormal="90" workbookViewId="0">
      <selection sqref="A1:XFD1048576"/>
    </sheetView>
  </sheetViews>
  <sheetFormatPr defaultColWidth="8.875" defaultRowHeight="14.25"/>
  <cols>
    <col min="1" max="1" width="3.375" style="30" customWidth="1"/>
    <col min="2" max="2" width="21.125" style="30" customWidth="1"/>
    <col min="3" max="3" width="17.125" style="30" customWidth="1"/>
    <col min="4" max="4" width="46.875" style="30" customWidth="1"/>
    <col min="5" max="5" width="4" style="30" customWidth="1"/>
    <col min="6" max="6" width="23" style="30" customWidth="1"/>
    <col min="7" max="7" width="23.125" style="30" customWidth="1"/>
    <col min="8" max="8" width="15.625" style="30" customWidth="1"/>
    <col min="9" max="9" width="12.125" style="30" customWidth="1"/>
    <col min="10" max="10" width="8.5" style="30" bestFit="1" customWidth="1"/>
    <col min="11" max="11" width="13.625" style="30" customWidth="1"/>
    <col min="12" max="12" width="18.625" style="30" customWidth="1"/>
    <col min="13" max="13" width="11.625" style="30" customWidth="1"/>
    <col min="14" max="14" width="13.375" style="30" customWidth="1"/>
    <col min="15" max="15" width="17.125" style="30" customWidth="1"/>
    <col min="16" max="16" width="14.5" style="30" customWidth="1"/>
    <col min="17" max="17" width="11.5" style="30" customWidth="1"/>
    <col min="18" max="20" width="8.875" style="30"/>
    <col min="21" max="21" width="11.5" style="30" bestFit="1" customWidth="1"/>
    <col min="22" max="22" width="7.125" style="30" bestFit="1" customWidth="1"/>
    <col min="23" max="23" width="8.625" style="30" bestFit="1" customWidth="1"/>
    <col min="24" max="24" width="15.5" style="30" bestFit="1" customWidth="1"/>
    <col min="25" max="25" width="14.5" style="30" bestFit="1" customWidth="1"/>
    <col min="26" max="26" width="13.375" style="30" customWidth="1"/>
    <col min="27" max="28" width="8.875" style="30"/>
    <col min="29" max="29" width="14.625" style="30" bestFit="1" customWidth="1"/>
    <col min="30" max="30" width="31.125" style="30" customWidth="1"/>
    <col min="31" max="31" width="15.625" style="30" bestFit="1" customWidth="1"/>
    <col min="32" max="16384" width="8.875" style="30"/>
  </cols>
  <sheetData>
    <row r="2" spans="1:32" ht="45">
      <c r="B2" s="1078" t="s">
        <v>1444</v>
      </c>
      <c r="C2" s="1079" t="s">
        <v>3942</v>
      </c>
      <c r="D2" s="1080" t="s">
        <v>1445</v>
      </c>
      <c r="F2" s="1574" t="s">
        <v>4277</v>
      </c>
      <c r="G2" s="1574"/>
      <c r="H2" s="1574"/>
      <c r="K2" s="1082" t="s">
        <v>1434</v>
      </c>
    </row>
    <row r="3" spans="1:32" s="1083" customFormat="1" ht="51" customHeight="1">
      <c r="B3" s="1084" t="s">
        <v>1457</v>
      </c>
      <c r="C3" s="1085">
        <f>'DESNZ Cat 6-9'!$R$29+'DESNZ Cat 6-9'!$S$29</f>
        <v>0.36016719058686697</v>
      </c>
      <c r="D3" s="1086" t="s">
        <v>4274</v>
      </c>
      <c r="F3" s="1576" t="s">
        <v>4002</v>
      </c>
      <c r="G3" s="1576"/>
      <c r="H3" s="1576"/>
      <c r="I3" s="1576"/>
      <c r="K3" s="269" t="s">
        <v>195</v>
      </c>
      <c r="L3" s="1082"/>
      <c r="M3" s="1082"/>
      <c r="O3" s="30"/>
      <c r="P3" s="30"/>
      <c r="Q3" s="30"/>
      <c r="R3" s="30"/>
      <c r="S3" s="30"/>
      <c r="T3" s="30"/>
      <c r="U3" s="30"/>
      <c r="V3" s="30"/>
      <c r="W3" s="30"/>
      <c r="X3" s="30"/>
      <c r="Y3" s="30"/>
      <c r="Z3" s="30"/>
      <c r="AA3" s="30"/>
      <c r="AB3" s="30"/>
      <c r="AC3" s="30"/>
      <c r="AD3" s="30"/>
      <c r="AE3" s="30"/>
      <c r="AF3" s="30"/>
    </row>
    <row r="4" spans="1:32" ht="30" customHeight="1">
      <c r="B4" s="1084" t="s">
        <v>1461</v>
      </c>
      <c r="C4" s="1085">
        <f>C3/2.25</f>
        <v>0.16007430692749644</v>
      </c>
      <c r="D4" s="1086" t="s">
        <v>1464</v>
      </c>
      <c r="F4" s="269" t="s">
        <v>195</v>
      </c>
      <c r="G4" s="1083"/>
      <c r="H4" s="1083"/>
      <c r="I4" s="1081"/>
      <c r="K4" s="1087" t="s">
        <v>1436</v>
      </c>
      <c r="M4" s="1087"/>
    </row>
    <row r="5" spans="1:32" ht="30">
      <c r="B5" s="1084" t="s">
        <v>1471</v>
      </c>
      <c r="C5" s="1085">
        <f>AVERAGE(SUM('DESNZ Cat 6-9'!$L$88:$M$88),SUM('DESNZ Cat 6-9'!$L$101:$M$101))*Conversions!$F$55</f>
        <v>0.13394990558542319</v>
      </c>
      <c r="D5" s="1086" t="s">
        <v>4275</v>
      </c>
      <c r="E5" s="42"/>
      <c r="F5" s="1575" t="s">
        <v>1435</v>
      </c>
      <c r="G5" s="1575"/>
      <c r="H5" s="1575"/>
      <c r="I5" s="1575"/>
    </row>
    <row r="6" spans="1:32" ht="57.75" customHeight="1">
      <c r="A6" s="1088"/>
      <c r="B6" s="1084" t="s">
        <v>1473</v>
      </c>
      <c r="C6" s="1085">
        <f>AVERAGE(SUM('DESNZ Cat 6-9'!$L$107:$M$107),SUM('DESNZ Cat 6-9'!$L$92:$M$92))*Conversions!$F$55</f>
        <v>0.26472013893278545</v>
      </c>
      <c r="D6" s="1086" t="s">
        <v>4276</v>
      </c>
      <c r="E6" s="1089"/>
      <c r="F6" s="1090" t="s">
        <v>1437</v>
      </c>
      <c r="G6" s="1090" t="s">
        <v>1438</v>
      </c>
      <c r="H6" s="1062" t="s">
        <v>1439</v>
      </c>
      <c r="I6" s="1091" t="s">
        <v>3925</v>
      </c>
      <c r="K6" s="1092" t="s">
        <v>1440</v>
      </c>
      <c r="L6" s="1093" t="s">
        <v>1441</v>
      </c>
      <c r="M6" s="1094" t="s">
        <v>1442</v>
      </c>
      <c r="N6" s="1095" t="s">
        <v>1443</v>
      </c>
    </row>
    <row r="7" spans="1:32" ht="15">
      <c r="A7" s="1088"/>
      <c r="B7" s="1096" t="s">
        <v>1477</v>
      </c>
      <c r="C7" s="1097">
        <v>0</v>
      </c>
      <c r="D7" s="1096"/>
      <c r="E7" s="1098"/>
      <c r="F7" s="1099" t="s">
        <v>204</v>
      </c>
      <c r="G7" s="1100" t="s">
        <v>1457</v>
      </c>
      <c r="H7" s="1101">
        <v>0.79862058485058529</v>
      </c>
      <c r="I7" s="1102">
        <f>H7*VLOOKUP($G7,$B$3:$C$8,2,FALSE)</f>
        <v>0.28763693239047594</v>
      </c>
      <c r="K7" s="1103" t="s">
        <v>1458</v>
      </c>
      <c r="L7" s="1103">
        <v>7.8</v>
      </c>
      <c r="M7" s="1103">
        <f>$L7*2</f>
        <v>15.6</v>
      </c>
      <c r="N7" s="1104">
        <f>M7*SUMIFS($I$7:$I$324,$F$7:$F$324,K7)</f>
        <v>5.2341136968591799</v>
      </c>
    </row>
    <row r="8" spans="1:32" ht="15">
      <c r="B8" s="1096" t="s">
        <v>1481</v>
      </c>
      <c r="C8" s="1097">
        <v>0</v>
      </c>
      <c r="D8" s="1096"/>
      <c r="E8" s="1105"/>
      <c r="F8" s="1099" t="s">
        <v>204</v>
      </c>
      <c r="G8" s="1100" t="s">
        <v>1461</v>
      </c>
      <c r="H8" s="1101">
        <v>0.10586192834154953</v>
      </c>
      <c r="I8" s="1102">
        <f t="shared" ref="I8:I70" si="0">H8*VLOOKUP($G8,$B$3:$C$8,2,FALSE)</f>
        <v>1.6945774809281833E-2</v>
      </c>
      <c r="K8" s="1103" t="s">
        <v>1462</v>
      </c>
      <c r="L8" s="1106" t="s">
        <v>1463</v>
      </c>
      <c r="M8" s="1107">
        <f>M57</f>
        <v>14.408333333333337</v>
      </c>
      <c r="N8" s="1104">
        <f t="shared" ref="N8:N38" si="1">M8*SUMIFS($I$7:$I$324,$F$7:$F$324,K8)</f>
        <v>4.2911262999170772</v>
      </c>
    </row>
    <row r="9" spans="1:32" ht="15">
      <c r="D9" s="269"/>
      <c r="E9" s="1108"/>
      <c r="F9" s="1099" t="s">
        <v>204</v>
      </c>
      <c r="G9" s="1100" t="s">
        <v>1471</v>
      </c>
      <c r="H9" s="1101">
        <v>4.2539953111918341E-2</v>
      </c>
      <c r="I9" s="1102">
        <f>H9*VLOOKUP($G9,$B$3:$C$8,2,FALSE)</f>
        <v>5.6982227029497914E-3</v>
      </c>
      <c r="K9" s="1103" t="s">
        <v>1468</v>
      </c>
      <c r="L9" s="1103">
        <v>7.6</v>
      </c>
      <c r="M9" s="1103">
        <f t="shared" ref="M9:M16" si="2">$L9*2</f>
        <v>15.2</v>
      </c>
      <c r="N9" s="1104">
        <f t="shared" si="1"/>
        <v>4.8570247682123169</v>
      </c>
    </row>
    <row r="10" spans="1:32" ht="15">
      <c r="E10" s="1105"/>
      <c r="F10" s="1099" t="s">
        <v>204</v>
      </c>
      <c r="G10" s="1100" t="s">
        <v>1473</v>
      </c>
      <c r="H10" s="1101">
        <v>1.9128333046323196E-2</v>
      </c>
      <c r="I10" s="1102">
        <f>H10*VLOOKUP($G10,$B$3:$C$8,2,FALSE)</f>
        <v>5.063654981575268E-3</v>
      </c>
      <c r="K10" s="1103" t="s">
        <v>1472</v>
      </c>
      <c r="L10" s="1103">
        <v>7</v>
      </c>
      <c r="M10" s="1103">
        <f t="shared" si="2"/>
        <v>14</v>
      </c>
      <c r="N10" s="1104">
        <f t="shared" si="1"/>
        <v>4.6301560306397516</v>
      </c>
    </row>
    <row r="11" spans="1:32" ht="15">
      <c r="F11" s="1099" t="s">
        <v>204</v>
      </c>
      <c r="G11" s="1100" t="s">
        <v>1477</v>
      </c>
      <c r="H11" s="1101">
        <v>2.8245620498946376E-2</v>
      </c>
      <c r="I11" s="1102">
        <f t="shared" si="0"/>
        <v>0</v>
      </c>
      <c r="K11" s="1103" t="s">
        <v>1474</v>
      </c>
      <c r="L11" s="1103">
        <v>6.6</v>
      </c>
      <c r="M11" s="1103">
        <f t="shared" si="2"/>
        <v>13.2</v>
      </c>
      <c r="N11" s="1104">
        <f t="shared" si="1"/>
        <v>4.1205090772192881</v>
      </c>
    </row>
    <row r="12" spans="1:32" ht="15">
      <c r="F12" s="1099" t="s">
        <v>204</v>
      </c>
      <c r="G12" s="1100" t="s">
        <v>1481</v>
      </c>
      <c r="H12" s="1101">
        <v>5.6035801506772159E-3</v>
      </c>
      <c r="I12" s="1102">
        <f t="shared" si="0"/>
        <v>0</v>
      </c>
      <c r="K12" s="1103" t="s">
        <v>1478</v>
      </c>
      <c r="L12" s="1103">
        <v>6.9</v>
      </c>
      <c r="M12" s="1103">
        <f t="shared" si="2"/>
        <v>13.8</v>
      </c>
      <c r="N12" s="1104">
        <f t="shared" si="1"/>
        <v>4.3760597719859833</v>
      </c>
    </row>
    <row r="13" spans="1:32" ht="15">
      <c r="E13" s="269"/>
      <c r="F13" s="1099" t="s">
        <v>1458</v>
      </c>
      <c r="G13" s="1100" t="s">
        <v>1457</v>
      </c>
      <c r="H13" s="1101">
        <v>0.88184131744257499</v>
      </c>
      <c r="I13" s="1102">
        <f t="shared" si="0"/>
        <v>0.31761030984671379</v>
      </c>
      <c r="K13" s="1103" t="s">
        <v>1482</v>
      </c>
      <c r="L13" s="1103">
        <v>6.5</v>
      </c>
      <c r="M13" s="1103">
        <f t="shared" si="2"/>
        <v>13</v>
      </c>
      <c r="N13" s="1104">
        <f t="shared" si="1"/>
        <v>4.1332864845472486</v>
      </c>
    </row>
    <row r="14" spans="1:32" ht="15">
      <c r="F14" s="1099" t="s">
        <v>1458</v>
      </c>
      <c r="G14" s="1100" t="s">
        <v>1461</v>
      </c>
      <c r="H14" s="1101">
        <v>8.6160120969313095E-2</v>
      </c>
      <c r="I14" s="1102">
        <f t="shared" si="0"/>
        <v>1.3792021648952046E-2</v>
      </c>
      <c r="K14" s="1103" t="s">
        <v>1483</v>
      </c>
      <c r="L14" s="1103">
        <v>8</v>
      </c>
      <c r="M14" s="1103">
        <f t="shared" si="2"/>
        <v>16</v>
      </c>
      <c r="N14" s="1104">
        <f t="shared" si="1"/>
        <v>5.1531450935627925</v>
      </c>
    </row>
    <row r="15" spans="1:32" ht="15">
      <c r="F15" s="1099" t="s">
        <v>1458</v>
      </c>
      <c r="G15" s="1100" t="s">
        <v>1471</v>
      </c>
      <c r="H15" s="1101">
        <v>4.7738937631418218E-3</v>
      </c>
      <c r="I15" s="1102">
        <f t="shared" si="0"/>
        <v>6.3946261884768765E-4</v>
      </c>
      <c r="K15" s="1103" t="s">
        <v>1401</v>
      </c>
      <c r="L15" s="1103">
        <v>6</v>
      </c>
      <c r="M15" s="1103">
        <f t="shared" si="2"/>
        <v>12</v>
      </c>
      <c r="N15" s="1104">
        <f t="shared" si="1"/>
        <v>3.8679192997451057</v>
      </c>
    </row>
    <row r="16" spans="1:32" ht="15">
      <c r="F16" s="1099" t="s">
        <v>1458</v>
      </c>
      <c r="G16" s="1100" t="s">
        <v>1473</v>
      </c>
      <c r="H16" s="1101">
        <v>1.3139592146383761E-2</v>
      </c>
      <c r="I16" s="1102">
        <f t="shared" si="0"/>
        <v>3.4783146585108458E-3</v>
      </c>
      <c r="K16" s="1103" t="s">
        <v>5</v>
      </c>
      <c r="L16" s="1103">
        <v>7.4</v>
      </c>
      <c r="M16" s="1103">
        <f t="shared" si="2"/>
        <v>14.8</v>
      </c>
      <c r="N16" s="1104">
        <f t="shared" si="1"/>
        <v>4.8426302741296627</v>
      </c>
    </row>
    <row r="17" spans="1:14" ht="15">
      <c r="F17" s="1099" t="s">
        <v>1458</v>
      </c>
      <c r="G17" s="1100" t="s">
        <v>1477</v>
      </c>
      <c r="H17" s="1101">
        <v>1.3304840509509527E-2</v>
      </c>
      <c r="I17" s="1102">
        <f t="shared" si="0"/>
        <v>0</v>
      </c>
      <c r="K17" s="1103" t="s">
        <v>1487</v>
      </c>
      <c r="L17" s="1106" t="s">
        <v>1463</v>
      </c>
      <c r="M17" s="1107">
        <f>M57</f>
        <v>14.408333333333337</v>
      </c>
      <c r="N17" s="1104">
        <f t="shared" si="1"/>
        <v>4.2461968244772237</v>
      </c>
    </row>
    <row r="18" spans="1:14" ht="15">
      <c r="F18" s="1099" t="s">
        <v>1458</v>
      </c>
      <c r="G18" s="1100" t="s">
        <v>1481</v>
      </c>
      <c r="H18" s="1101">
        <v>7.8023516907677331E-4</v>
      </c>
      <c r="I18" s="1102">
        <f t="shared" si="0"/>
        <v>0</v>
      </c>
      <c r="K18" s="1103" t="s">
        <v>1488</v>
      </c>
      <c r="L18" s="1103">
        <v>6.2</v>
      </c>
      <c r="M18" s="1103">
        <f t="shared" ref="M18:M57" si="3">$L18*2</f>
        <v>12.4</v>
      </c>
      <c r="N18" s="1104">
        <f t="shared" si="1"/>
        <v>3.9995552974028086</v>
      </c>
    </row>
    <row r="19" spans="1:14" ht="15">
      <c r="F19" s="1099" t="s">
        <v>1462</v>
      </c>
      <c r="G19" s="1100" t="s">
        <v>1457</v>
      </c>
      <c r="H19" s="1101">
        <v>0.72991740722641518</v>
      </c>
      <c r="I19" s="1102">
        <f t="shared" si="0"/>
        <v>0.26289230192118807</v>
      </c>
      <c r="K19" s="1103" t="s">
        <v>1489</v>
      </c>
      <c r="L19" s="1103">
        <v>6.5</v>
      </c>
      <c r="M19" s="1103">
        <f t="shared" si="3"/>
        <v>13</v>
      </c>
      <c r="N19" s="1104">
        <f t="shared" si="1"/>
        <v>3.971730502425034</v>
      </c>
    </row>
    <row r="20" spans="1:14" ht="15">
      <c r="F20" s="1099" t="s">
        <v>1462</v>
      </c>
      <c r="G20" s="1100" t="s">
        <v>1461</v>
      </c>
      <c r="H20" s="1101">
        <v>0.13534898312549398</v>
      </c>
      <c r="I20" s="1102">
        <f t="shared" si="0"/>
        <v>2.1665894667154861E-2</v>
      </c>
      <c r="K20" s="1103" t="s">
        <v>1490</v>
      </c>
      <c r="L20" s="1103">
        <v>6.9</v>
      </c>
      <c r="M20" s="1103">
        <f t="shared" si="3"/>
        <v>13.8</v>
      </c>
      <c r="N20" s="1104">
        <f t="shared" si="1"/>
        <v>4.5139565507204482</v>
      </c>
    </row>
    <row r="21" spans="1:14" ht="15">
      <c r="F21" s="1099" t="s">
        <v>1462</v>
      </c>
      <c r="G21" s="1100" t="s">
        <v>1471</v>
      </c>
      <c r="H21" s="1101">
        <v>7.4206801686847301E-3</v>
      </c>
      <c r="I21" s="1102">
        <f t="shared" si="0"/>
        <v>9.9399940797494177E-4</v>
      </c>
      <c r="K21" s="1103" t="s">
        <v>1491</v>
      </c>
      <c r="L21" s="1103">
        <v>7</v>
      </c>
      <c r="M21" s="1103">
        <f t="shared" si="3"/>
        <v>14</v>
      </c>
      <c r="N21" s="1104">
        <f t="shared" si="1"/>
        <v>4.5469599890941641</v>
      </c>
    </row>
    <row r="22" spans="1:14" ht="15">
      <c r="F22" s="1099" t="s">
        <v>1462</v>
      </c>
      <c r="G22" s="1100" t="s">
        <v>1473</v>
      </c>
      <c r="H22" s="1101">
        <v>4.6352102224394134E-2</v>
      </c>
      <c r="I22" s="1102">
        <f t="shared" si="0"/>
        <v>1.2270334940668289E-2</v>
      </c>
      <c r="K22" s="1103" t="s">
        <v>1492</v>
      </c>
      <c r="L22" s="1103">
        <v>6.4</v>
      </c>
      <c r="M22" s="1103">
        <f t="shared" si="3"/>
        <v>12.8</v>
      </c>
      <c r="N22" s="1104">
        <f t="shared" si="1"/>
        <v>4.1760884421756206</v>
      </c>
    </row>
    <row r="23" spans="1:14" ht="15">
      <c r="F23" s="1099" t="s">
        <v>1462</v>
      </c>
      <c r="G23" s="1100" t="s">
        <v>1477</v>
      </c>
      <c r="H23" s="1101">
        <v>7.0795098731244691E-2</v>
      </c>
      <c r="I23" s="1102">
        <f t="shared" si="0"/>
        <v>0</v>
      </c>
      <c r="K23" s="1103" t="s">
        <v>1493</v>
      </c>
      <c r="L23" s="1103">
        <v>7</v>
      </c>
      <c r="M23" s="1103">
        <f t="shared" si="3"/>
        <v>14</v>
      </c>
      <c r="N23" s="1104">
        <f t="shared" si="1"/>
        <v>4.5732104560476694</v>
      </c>
    </row>
    <row r="24" spans="1:14" ht="15">
      <c r="F24" s="1099" t="s">
        <v>1462</v>
      </c>
      <c r="G24" s="1100" t="s">
        <v>1481</v>
      </c>
      <c r="H24" s="1101">
        <v>1.0165728523767294E-2</v>
      </c>
      <c r="I24" s="1102">
        <f t="shared" si="0"/>
        <v>0</v>
      </c>
      <c r="K24" s="1103" t="s">
        <v>1494</v>
      </c>
      <c r="L24" s="1103">
        <v>7.2</v>
      </c>
      <c r="M24" s="1103">
        <f t="shared" si="3"/>
        <v>14.4</v>
      </c>
      <c r="N24" s="1104">
        <f t="shared" si="1"/>
        <v>4.7275381397771365</v>
      </c>
    </row>
    <row r="25" spans="1:14" ht="15">
      <c r="A25" s="1109"/>
      <c r="F25" s="1099" t="s">
        <v>1468</v>
      </c>
      <c r="G25" s="1100" t="s">
        <v>1457</v>
      </c>
      <c r="H25" s="1101">
        <v>0.8063711831671676</v>
      </c>
      <c r="I25" s="1102">
        <f t="shared" si="0"/>
        <v>0.29042844361152664</v>
      </c>
      <c r="K25" s="1103" t="s">
        <v>1495</v>
      </c>
      <c r="L25" s="1103">
        <v>9.8000000000000007</v>
      </c>
      <c r="M25" s="1103">
        <f t="shared" si="3"/>
        <v>19.600000000000001</v>
      </c>
      <c r="N25" s="1104">
        <f t="shared" si="1"/>
        <v>6.2821674918404309</v>
      </c>
    </row>
    <row r="26" spans="1:14" ht="15">
      <c r="F26" s="1099" t="s">
        <v>1468</v>
      </c>
      <c r="G26" s="1100" t="s">
        <v>1461</v>
      </c>
      <c r="H26" s="1101">
        <v>0.12854254736274523</v>
      </c>
      <c r="I26" s="1102">
        <f t="shared" si="0"/>
        <v>2.0576359179786327E-2</v>
      </c>
      <c r="K26" s="1103" t="s">
        <v>1496</v>
      </c>
      <c r="L26" s="1103">
        <v>7.9</v>
      </c>
      <c r="M26" s="1103">
        <f t="shared" si="3"/>
        <v>15.8</v>
      </c>
      <c r="N26" s="1104">
        <f t="shared" si="1"/>
        <v>4.9481641919349064</v>
      </c>
    </row>
    <row r="27" spans="1:14" ht="15">
      <c r="F27" s="1099" t="s">
        <v>1468</v>
      </c>
      <c r="G27" s="1100" t="s">
        <v>1471</v>
      </c>
      <c r="H27" s="1101">
        <v>1.3573785801779913E-2</v>
      </c>
      <c r="I27" s="1102">
        <f t="shared" si="0"/>
        <v>1.8182073265851772E-3</v>
      </c>
      <c r="K27" s="1103" t="s">
        <v>1497</v>
      </c>
      <c r="L27" s="1103">
        <v>6.4</v>
      </c>
      <c r="M27" s="1103">
        <f t="shared" si="3"/>
        <v>12.8</v>
      </c>
      <c r="N27" s="1104">
        <f t="shared" si="1"/>
        <v>3.7910406071970111</v>
      </c>
    </row>
    <row r="28" spans="1:14" ht="15">
      <c r="F28" s="1099" t="s">
        <v>1468</v>
      </c>
      <c r="G28" s="1100" t="s">
        <v>1473</v>
      </c>
      <c r="H28" s="1101">
        <v>2.5378095829991176E-2</v>
      </c>
      <c r="I28" s="1102">
        <f t="shared" si="0"/>
        <v>6.7180930539648071E-3</v>
      </c>
      <c r="K28" s="1103" t="s">
        <v>1498</v>
      </c>
      <c r="L28" s="1103">
        <v>8</v>
      </c>
      <c r="M28" s="1103">
        <f t="shared" si="3"/>
        <v>16</v>
      </c>
      <c r="N28" s="1104">
        <f t="shared" si="1"/>
        <v>5.241619638674317</v>
      </c>
    </row>
    <row r="29" spans="1:14" ht="15">
      <c r="F29" s="1099" t="s">
        <v>1468</v>
      </c>
      <c r="G29" s="1100" t="s">
        <v>1477</v>
      </c>
      <c r="H29" s="1101">
        <v>2.0583452023122933E-2</v>
      </c>
      <c r="I29" s="1102">
        <f t="shared" si="0"/>
        <v>0</v>
      </c>
      <c r="K29" s="1103" t="s">
        <v>1499</v>
      </c>
      <c r="L29" s="1103">
        <v>8.6999999999999993</v>
      </c>
      <c r="M29" s="1103">
        <f t="shared" si="3"/>
        <v>17.399999999999999</v>
      </c>
      <c r="N29" s="1104">
        <f t="shared" si="1"/>
        <v>5.5933343814743273</v>
      </c>
    </row>
    <row r="30" spans="1:14" ht="15">
      <c r="F30" s="1099" t="s">
        <v>1468</v>
      </c>
      <c r="G30" s="1100" t="s">
        <v>1481</v>
      </c>
      <c r="H30" s="1101">
        <v>5.5509358151931403E-3</v>
      </c>
      <c r="I30" s="1102">
        <f t="shared" si="0"/>
        <v>0</v>
      </c>
      <c r="K30" s="1103" t="s">
        <v>1500</v>
      </c>
      <c r="L30" s="1103">
        <v>8.5</v>
      </c>
      <c r="M30" s="1103">
        <f t="shared" si="3"/>
        <v>17</v>
      </c>
      <c r="N30" s="1104">
        <f t="shared" si="1"/>
        <v>5.6554078494612225</v>
      </c>
    </row>
    <row r="31" spans="1:14" ht="15">
      <c r="F31" s="1099" t="s">
        <v>1472</v>
      </c>
      <c r="G31" s="1100" t="s">
        <v>1457</v>
      </c>
      <c r="H31" s="1101">
        <v>0.85736104361655796</v>
      </c>
      <c r="I31" s="1102">
        <f t="shared" si="0"/>
        <v>0.30879331839800001</v>
      </c>
      <c r="K31" s="1103" t="s">
        <v>1501</v>
      </c>
      <c r="L31" s="1103">
        <v>7.9</v>
      </c>
      <c r="M31" s="1103">
        <f t="shared" si="3"/>
        <v>15.8</v>
      </c>
      <c r="N31" s="1104">
        <f t="shared" si="1"/>
        <v>5.1743533518661451</v>
      </c>
    </row>
    <row r="32" spans="1:14" ht="15">
      <c r="F32" s="1099" t="s">
        <v>1472</v>
      </c>
      <c r="G32" s="1100" t="s">
        <v>1461</v>
      </c>
      <c r="H32" s="1101">
        <v>0.10964332371930399</v>
      </c>
      <c r="I32" s="1102">
        <f t="shared" si="0"/>
        <v>1.7551079053594716E-2</v>
      </c>
      <c r="K32" s="1103" t="s">
        <v>1502</v>
      </c>
      <c r="L32" s="1103">
        <v>6.5</v>
      </c>
      <c r="M32" s="1103">
        <f t="shared" si="3"/>
        <v>13</v>
      </c>
      <c r="N32" s="1104">
        <f t="shared" si="1"/>
        <v>4.0927748438115037</v>
      </c>
    </row>
    <row r="33" spans="2:14" ht="15">
      <c r="F33" s="1099" t="s">
        <v>1472</v>
      </c>
      <c r="G33" s="1100" t="s">
        <v>1471</v>
      </c>
      <c r="H33" s="1101">
        <v>3.1185113190995207E-3</v>
      </c>
      <c r="I33" s="1102">
        <f t="shared" si="0"/>
        <v>4.1772429676045433E-4</v>
      </c>
      <c r="K33" s="1103" t="s">
        <v>1503</v>
      </c>
      <c r="L33" s="1103">
        <v>6.2</v>
      </c>
      <c r="M33" s="1103">
        <f t="shared" si="3"/>
        <v>12.4</v>
      </c>
      <c r="N33" s="1104">
        <f t="shared" si="1"/>
        <v>4.0192213545315401</v>
      </c>
    </row>
    <row r="34" spans="2:14" ht="15" customHeight="1">
      <c r="F34" s="1099" t="s">
        <v>1472</v>
      </c>
      <c r="G34" s="1100" t="s">
        <v>1473</v>
      </c>
      <c r="H34" s="1101">
        <v>1.4971694362223805E-2</v>
      </c>
      <c r="I34" s="1102">
        <f t="shared" si="0"/>
        <v>3.9633090116270864E-3</v>
      </c>
      <c r="K34" s="1103" t="s">
        <v>1504</v>
      </c>
      <c r="L34" s="1103">
        <v>5.9</v>
      </c>
      <c r="M34" s="1103">
        <f t="shared" si="3"/>
        <v>11.8</v>
      </c>
      <c r="N34" s="1104">
        <f t="shared" si="1"/>
        <v>3.7315807303274213</v>
      </c>
    </row>
    <row r="35" spans="2:14" ht="15">
      <c r="F35" s="1099" t="s">
        <v>1472</v>
      </c>
      <c r="G35" s="1100" t="s">
        <v>1477</v>
      </c>
      <c r="H35" s="1101">
        <v>1.2550568321668169E-2</v>
      </c>
      <c r="I35" s="1102">
        <f t="shared" si="0"/>
        <v>0</v>
      </c>
      <c r="K35" s="1103" t="s">
        <v>1505</v>
      </c>
      <c r="L35" s="1103">
        <v>9.6</v>
      </c>
      <c r="M35" s="1103">
        <f t="shared" si="3"/>
        <v>19.2</v>
      </c>
      <c r="N35" s="1104">
        <f t="shared" si="1"/>
        <v>6.3175863421578864</v>
      </c>
    </row>
    <row r="36" spans="2:14" ht="15">
      <c r="F36" s="1099" t="s">
        <v>1472</v>
      </c>
      <c r="G36" s="1100" t="s">
        <v>1481</v>
      </c>
      <c r="H36" s="1101">
        <v>2.3548586611464887E-3</v>
      </c>
      <c r="I36" s="1102">
        <f t="shared" si="0"/>
        <v>0</v>
      </c>
      <c r="K36" s="1103" t="s">
        <v>1506</v>
      </c>
      <c r="L36" s="1103">
        <v>7</v>
      </c>
      <c r="M36" s="1103">
        <f t="shared" si="3"/>
        <v>14</v>
      </c>
      <c r="N36" s="1104">
        <f t="shared" si="1"/>
        <v>4.2142762496608457</v>
      </c>
    </row>
    <row r="37" spans="2:14" ht="15">
      <c r="B37" s="1110"/>
      <c r="C37" s="1110"/>
      <c r="D37" s="1110"/>
      <c r="E37" s="1110"/>
      <c r="F37" s="1099" t="s">
        <v>1474</v>
      </c>
      <c r="G37" s="1100" t="s">
        <v>1457</v>
      </c>
      <c r="H37" s="1101">
        <v>0.78343084901770865</v>
      </c>
      <c r="I37" s="1102">
        <f t="shared" si="0"/>
        <v>0.28216608790979208</v>
      </c>
      <c r="K37" s="1103" t="s">
        <v>1507</v>
      </c>
      <c r="L37" s="1103">
        <v>7.3</v>
      </c>
      <c r="M37" s="1103">
        <f t="shared" si="3"/>
        <v>14.6</v>
      </c>
      <c r="N37" s="1104">
        <f t="shared" si="1"/>
        <v>4.7041119354055967</v>
      </c>
    </row>
    <row r="38" spans="2:14" ht="15">
      <c r="F38" s="1099" t="s">
        <v>1474</v>
      </c>
      <c r="G38" s="1100" t="s">
        <v>1461</v>
      </c>
      <c r="H38" s="1101">
        <v>0.11834716832995679</v>
      </c>
      <c r="I38" s="1102">
        <f t="shared" si="0"/>
        <v>1.8944340947249588E-2</v>
      </c>
      <c r="K38" s="1103" t="s">
        <v>1508</v>
      </c>
      <c r="L38" s="1103">
        <v>6</v>
      </c>
      <c r="M38" s="1103">
        <f t="shared" si="3"/>
        <v>12</v>
      </c>
      <c r="N38" s="1104">
        <f t="shared" si="1"/>
        <v>3.0434581121264075</v>
      </c>
    </row>
    <row r="39" spans="2:14" ht="15">
      <c r="F39" s="1099" t="s">
        <v>1474</v>
      </c>
      <c r="G39" s="1100" t="s">
        <v>1471</v>
      </c>
      <c r="H39" s="1101">
        <v>3.8410239541393533E-2</v>
      </c>
      <c r="I39" s="1102">
        <f t="shared" si="0"/>
        <v>5.1450479600831526E-3</v>
      </c>
      <c r="K39" s="1103" t="s">
        <v>1509</v>
      </c>
      <c r="L39" s="1103">
        <v>7.5</v>
      </c>
      <c r="M39" s="1103">
        <f t="shared" si="3"/>
        <v>15</v>
      </c>
      <c r="N39" s="1104">
        <f t="shared" ref="N39:N56" si="4">M39*SUMIFS($I$7:$I$324,$F$7:$F$324,K39)</f>
        <v>4.9109236071248858</v>
      </c>
    </row>
    <row r="40" spans="2:14" ht="15">
      <c r="F40" s="1099" t="s">
        <v>1474</v>
      </c>
      <c r="G40" s="1100" t="s">
        <v>1473</v>
      </c>
      <c r="H40" s="1101">
        <v>2.2303938732795844E-2</v>
      </c>
      <c r="I40" s="1102">
        <f t="shared" si="0"/>
        <v>5.9043017600940509E-3</v>
      </c>
      <c r="K40" s="1103" t="s">
        <v>1510</v>
      </c>
      <c r="L40" s="1103">
        <v>6.8</v>
      </c>
      <c r="M40" s="1103">
        <f t="shared" si="3"/>
        <v>13.6</v>
      </c>
      <c r="N40" s="1104">
        <f t="shared" si="4"/>
        <v>4.3509493799727963</v>
      </c>
    </row>
    <row r="41" spans="2:14" ht="15">
      <c r="F41" s="1099" t="s">
        <v>1474</v>
      </c>
      <c r="G41" s="1100" t="s">
        <v>1477</v>
      </c>
      <c r="H41" s="1101">
        <v>2.8666602883649913E-2</v>
      </c>
      <c r="I41" s="1102">
        <f t="shared" si="0"/>
        <v>0</v>
      </c>
      <c r="K41" s="1103" t="s">
        <v>1396</v>
      </c>
      <c r="L41" s="1103">
        <v>6.7</v>
      </c>
      <c r="M41" s="1103">
        <f t="shared" si="3"/>
        <v>13.4</v>
      </c>
      <c r="N41" s="1104">
        <f t="shared" si="4"/>
        <v>4.3959911802004914</v>
      </c>
    </row>
    <row r="42" spans="2:14" ht="15">
      <c r="F42" s="1099" t="s">
        <v>1474</v>
      </c>
      <c r="G42" s="1100" t="s">
        <v>1481</v>
      </c>
      <c r="H42" s="1101">
        <v>8.8412014944952624E-3</v>
      </c>
      <c r="I42" s="1102">
        <f t="shared" si="0"/>
        <v>0</v>
      </c>
      <c r="K42" s="1103" t="s">
        <v>1511</v>
      </c>
      <c r="L42" s="1103">
        <v>7.3</v>
      </c>
      <c r="M42" s="1103">
        <f t="shared" si="3"/>
        <v>14.6</v>
      </c>
      <c r="N42" s="1104">
        <f t="shared" si="4"/>
        <v>4.7721227898489849</v>
      </c>
    </row>
    <row r="43" spans="2:14" ht="15">
      <c r="F43" s="1099" t="s">
        <v>1478</v>
      </c>
      <c r="G43" s="1100" t="s">
        <v>1457</v>
      </c>
      <c r="H43" s="1101">
        <v>0.81583424680311845</v>
      </c>
      <c r="I43" s="1102">
        <f t="shared" si="0"/>
        <v>0.29383672865563182</v>
      </c>
      <c r="K43" s="1103" t="s">
        <v>1512</v>
      </c>
      <c r="L43" s="1103">
        <v>6.3</v>
      </c>
      <c r="M43" s="1103">
        <f t="shared" si="3"/>
        <v>12.6</v>
      </c>
      <c r="N43" s="1104">
        <f t="shared" si="4"/>
        <v>3.8961374543281742</v>
      </c>
    </row>
    <row r="44" spans="2:14" ht="15">
      <c r="F44" s="1099" t="s">
        <v>1478</v>
      </c>
      <c r="G44" s="1100" t="s">
        <v>1461</v>
      </c>
      <c r="H44" s="1101">
        <v>0.10128560857576731</v>
      </c>
      <c r="I44" s="1102">
        <f t="shared" si="0"/>
        <v>1.6213223594495643E-2</v>
      </c>
      <c r="K44" s="1103" t="s">
        <v>1513</v>
      </c>
      <c r="L44" s="1103">
        <v>6.7</v>
      </c>
      <c r="M44" s="1103">
        <f t="shared" si="3"/>
        <v>13.4</v>
      </c>
      <c r="N44" s="1104">
        <f t="shared" si="4"/>
        <v>4.1885801757894523</v>
      </c>
    </row>
    <row r="45" spans="2:14" ht="15">
      <c r="F45" s="1099" t="s">
        <v>1478</v>
      </c>
      <c r="G45" s="1100" t="s">
        <v>1471</v>
      </c>
      <c r="H45" s="1101">
        <v>2.1525314605298308E-2</v>
      </c>
      <c r="I45" s="1102">
        <f t="shared" si="0"/>
        <v>2.8833138590762392E-3</v>
      </c>
      <c r="K45" s="1103" t="s">
        <v>1514</v>
      </c>
      <c r="L45" s="1103">
        <v>5.9</v>
      </c>
      <c r="M45" s="1103">
        <f t="shared" si="3"/>
        <v>11.8</v>
      </c>
      <c r="N45" s="1104">
        <f t="shared" si="4"/>
        <v>3.7304145407309157</v>
      </c>
    </row>
    <row r="46" spans="2:14" ht="15">
      <c r="F46" s="1099" t="s">
        <v>1478</v>
      </c>
      <c r="G46" s="1100" t="s">
        <v>1473</v>
      </c>
      <c r="H46" s="1101">
        <v>1.5761983528386387E-2</v>
      </c>
      <c r="I46" s="1102">
        <f t="shared" si="0"/>
        <v>4.1725144694907202E-3</v>
      </c>
      <c r="K46" s="1103" t="s">
        <v>1515</v>
      </c>
      <c r="L46" s="1103">
        <v>7.6</v>
      </c>
      <c r="M46" s="1103">
        <f t="shared" si="3"/>
        <v>15.2</v>
      </c>
      <c r="N46" s="1104">
        <f t="shared" si="4"/>
        <v>5.0108589696214008</v>
      </c>
    </row>
    <row r="47" spans="2:14" ht="15">
      <c r="F47" s="1099" t="s">
        <v>1478</v>
      </c>
      <c r="G47" s="1100" t="s">
        <v>1477</v>
      </c>
      <c r="H47" s="1101">
        <v>3.3720628761413775E-2</v>
      </c>
      <c r="I47" s="1102">
        <f t="shared" si="0"/>
        <v>0</v>
      </c>
      <c r="K47" s="1103" t="s">
        <v>1516</v>
      </c>
      <c r="L47" s="1103">
        <v>7.3</v>
      </c>
      <c r="M47" s="1103">
        <f t="shared" si="3"/>
        <v>14.6</v>
      </c>
      <c r="N47" s="1104">
        <f t="shared" si="4"/>
        <v>4.7496005444761211</v>
      </c>
    </row>
    <row r="48" spans="2:14" ht="15">
      <c r="F48" s="1099" t="s">
        <v>1478</v>
      </c>
      <c r="G48" s="1100" t="s">
        <v>1481</v>
      </c>
      <c r="H48" s="1101">
        <v>1.1872217726015804E-2</v>
      </c>
      <c r="I48" s="1102">
        <f t="shared" si="0"/>
        <v>0</v>
      </c>
      <c r="K48" s="1103" t="s">
        <v>1517</v>
      </c>
      <c r="L48" s="1103">
        <v>7.4</v>
      </c>
      <c r="M48" s="1103">
        <f t="shared" si="3"/>
        <v>14.8</v>
      </c>
      <c r="N48" s="1104">
        <f t="shared" si="4"/>
        <v>4.8973970963813622</v>
      </c>
    </row>
    <row r="49" spans="6:14" ht="15">
      <c r="F49" s="1099" t="s">
        <v>1482</v>
      </c>
      <c r="G49" s="1100" t="s">
        <v>1457</v>
      </c>
      <c r="H49" s="1101">
        <v>0.8101432335128731</v>
      </c>
      <c r="I49" s="1102">
        <f t="shared" si="0"/>
        <v>0.29178701238729166</v>
      </c>
      <c r="K49" s="1103" t="s">
        <v>1518</v>
      </c>
      <c r="L49" s="1103">
        <v>7.3</v>
      </c>
      <c r="M49" s="1103">
        <f t="shared" si="3"/>
        <v>14.6</v>
      </c>
      <c r="N49" s="1104">
        <f t="shared" si="4"/>
        <v>4.7232052995735936</v>
      </c>
    </row>
    <row r="50" spans="6:14" ht="15">
      <c r="F50" s="1099" t="s">
        <v>1482</v>
      </c>
      <c r="G50" s="1100" t="s">
        <v>1461</v>
      </c>
      <c r="H50" s="1101">
        <v>9.410992362275232E-2</v>
      </c>
      <c r="I50" s="1102">
        <f t="shared" si="0"/>
        <v>1.5064580798911703E-2</v>
      </c>
      <c r="K50" s="1103" t="s">
        <v>1519</v>
      </c>
      <c r="L50" s="1103">
        <v>6.7</v>
      </c>
      <c r="M50" s="1103">
        <f t="shared" si="3"/>
        <v>13.4</v>
      </c>
      <c r="N50" s="1104">
        <f t="shared" si="4"/>
        <v>4.2378064312299539</v>
      </c>
    </row>
    <row r="51" spans="6:14" ht="15">
      <c r="F51" s="1099" t="s">
        <v>1482</v>
      </c>
      <c r="G51" s="1100" t="s">
        <v>1471</v>
      </c>
      <c r="H51" s="1101">
        <v>4.6368293280748277E-2</v>
      </c>
      <c r="I51" s="1102">
        <f t="shared" si="0"/>
        <v>6.2110285071134445E-3</v>
      </c>
      <c r="K51" s="1103" t="s">
        <v>1520</v>
      </c>
      <c r="L51" s="1103">
        <v>9.5</v>
      </c>
      <c r="M51" s="1103">
        <f t="shared" si="3"/>
        <v>19</v>
      </c>
      <c r="N51" s="1104">
        <f t="shared" si="4"/>
        <v>5.9169789135539501</v>
      </c>
    </row>
    <row r="52" spans="6:14" ht="15">
      <c r="F52" s="1099" t="s">
        <v>1482</v>
      </c>
      <c r="G52" s="1100" t="s">
        <v>1473</v>
      </c>
      <c r="H52" s="1101">
        <v>1.8443978317286433E-2</v>
      </c>
      <c r="I52" s="1102">
        <f t="shared" si="0"/>
        <v>4.8824925026253472E-3</v>
      </c>
      <c r="K52" s="1103" t="s">
        <v>1521</v>
      </c>
      <c r="L52" s="1103">
        <v>7.5</v>
      </c>
      <c r="M52" s="1103">
        <f t="shared" si="3"/>
        <v>15</v>
      </c>
      <c r="N52" s="1104">
        <f t="shared" si="4"/>
        <v>4.7897064145016062</v>
      </c>
    </row>
    <row r="53" spans="6:14" ht="15">
      <c r="F53" s="1099" t="s">
        <v>1482</v>
      </c>
      <c r="G53" s="1100" t="s">
        <v>1477</v>
      </c>
      <c r="H53" s="1101">
        <v>2.8271036382962737E-2</v>
      </c>
      <c r="I53" s="1102">
        <f t="shared" si="0"/>
        <v>0</v>
      </c>
      <c r="K53" s="1103" t="s">
        <v>1522</v>
      </c>
      <c r="L53" s="1103">
        <v>7</v>
      </c>
      <c r="M53" s="1103">
        <f t="shared" si="3"/>
        <v>14</v>
      </c>
      <c r="N53" s="1104">
        <f t="shared" si="4"/>
        <v>4.314938020995581</v>
      </c>
    </row>
    <row r="54" spans="6:14" ht="15">
      <c r="F54" s="1099" t="s">
        <v>1482</v>
      </c>
      <c r="G54" s="1100" t="s">
        <v>1481</v>
      </c>
      <c r="H54" s="1101">
        <v>2.6635348833772021E-3</v>
      </c>
      <c r="I54" s="1102">
        <f t="shared" si="0"/>
        <v>0</v>
      </c>
      <c r="K54" s="1103" t="s">
        <v>1523</v>
      </c>
      <c r="L54" s="1103">
        <v>7.8</v>
      </c>
      <c r="M54" s="1103">
        <f t="shared" si="3"/>
        <v>15.6</v>
      </c>
      <c r="N54" s="1104">
        <f t="shared" si="4"/>
        <v>5.0972249213267249</v>
      </c>
    </row>
    <row r="55" spans="6:14" ht="15">
      <c r="F55" s="1099" t="s">
        <v>1483</v>
      </c>
      <c r="G55" s="1100" t="s">
        <v>1457</v>
      </c>
      <c r="H55" s="1101">
        <v>0.82843789578018034</v>
      </c>
      <c r="I55" s="1102">
        <f t="shared" si="0"/>
        <v>0.29837614949884322</v>
      </c>
      <c r="K55" s="1103" t="s">
        <v>1524</v>
      </c>
      <c r="L55" s="1103">
        <v>8.1</v>
      </c>
      <c r="M55" s="1103">
        <f t="shared" si="3"/>
        <v>16.2</v>
      </c>
      <c r="N55" s="1104">
        <f t="shared" si="4"/>
        <v>5.2805830165866334</v>
      </c>
    </row>
    <row r="56" spans="6:14" ht="15">
      <c r="F56" s="1099" t="s">
        <v>1483</v>
      </c>
      <c r="G56" s="1100" t="s">
        <v>1461</v>
      </c>
      <c r="H56" s="1101">
        <v>9.6893871257869718E-2</v>
      </c>
      <c r="I56" s="1102">
        <f t="shared" si="0"/>
        <v>1.5510219287125563E-2</v>
      </c>
      <c r="K56" s="1111" t="s">
        <v>1525</v>
      </c>
      <c r="L56" s="1103">
        <v>5.7</v>
      </c>
      <c r="M56" s="1103">
        <f t="shared" si="3"/>
        <v>11.4</v>
      </c>
      <c r="N56" s="1104">
        <f t="shared" si="4"/>
        <v>3.5860057309503097</v>
      </c>
    </row>
    <row r="57" spans="6:14" ht="15">
      <c r="F57" s="1099" t="s">
        <v>1483</v>
      </c>
      <c r="G57" s="1100" t="s">
        <v>1471</v>
      </c>
      <c r="H57" s="1101">
        <v>2.6935996035315067E-2</v>
      </c>
      <c r="I57" s="1102">
        <f t="shared" si="0"/>
        <v>3.6080741257797865E-3</v>
      </c>
      <c r="K57" s="1112" t="s">
        <v>204</v>
      </c>
      <c r="L57" s="1113">
        <f>AVERAGE(L7:L56)</f>
        <v>7.2041666666666684</v>
      </c>
      <c r="M57" s="1114">
        <f t="shared" si="3"/>
        <v>14.408333333333337</v>
      </c>
      <c r="N57" s="1104">
        <f>M57*SUMIFS($I$7:$I$324,$F$7:$F$324,K57)</f>
        <v>4.5435898938743762</v>
      </c>
    </row>
    <row r="58" spans="6:14" ht="15">
      <c r="F58" s="1099" t="s">
        <v>1483</v>
      </c>
      <c r="G58" s="1100" t="s">
        <v>1473</v>
      </c>
      <c r="H58" s="1101">
        <v>1.7290431526587251E-2</v>
      </c>
      <c r="I58" s="1102">
        <f t="shared" si="0"/>
        <v>4.5771254359259911E-3</v>
      </c>
    </row>
    <row r="59" spans="6:14" ht="15">
      <c r="F59" s="1099" t="s">
        <v>1483</v>
      </c>
      <c r="G59" s="1100" t="s">
        <v>1477</v>
      </c>
      <c r="H59" s="1101">
        <v>2.6027422404140892E-2</v>
      </c>
      <c r="I59" s="1102">
        <f t="shared" si="0"/>
        <v>0</v>
      </c>
    </row>
    <row r="60" spans="6:14" ht="15">
      <c r="F60" s="1099" t="s">
        <v>1483</v>
      </c>
      <c r="G60" s="1100" t="s">
        <v>1481</v>
      </c>
      <c r="H60" s="1101">
        <v>4.4143829959068298E-3</v>
      </c>
      <c r="I60" s="1102">
        <f t="shared" si="0"/>
        <v>0</v>
      </c>
    </row>
    <row r="61" spans="6:14" ht="15">
      <c r="F61" s="1099" t="s">
        <v>1526</v>
      </c>
      <c r="G61" s="1100" t="s">
        <v>1457</v>
      </c>
      <c r="H61" s="1101">
        <v>0.38025450051768483</v>
      </c>
      <c r="I61" s="1102">
        <f t="shared" si="0"/>
        <v>0.13695519515946689</v>
      </c>
    </row>
    <row r="62" spans="6:14" ht="15">
      <c r="F62" s="1099" t="s">
        <v>1526</v>
      </c>
      <c r="G62" s="1100" t="s">
        <v>1461</v>
      </c>
      <c r="H62" s="1101">
        <v>5.2666911592799175E-2</v>
      </c>
      <c r="I62" s="1102">
        <f t="shared" si="0"/>
        <v>8.4306193712290547E-3</v>
      </c>
    </row>
    <row r="63" spans="6:14" ht="15">
      <c r="F63" s="1099" t="s">
        <v>1526</v>
      </c>
      <c r="G63" s="1100" t="s">
        <v>1471</v>
      </c>
      <c r="H63" s="1101">
        <v>0.34506863498213153</v>
      </c>
      <c r="I63" s="1102">
        <f t="shared" si="0"/>
        <v>4.6221911076347377E-2</v>
      </c>
    </row>
    <row r="64" spans="6:14" ht="15">
      <c r="F64" s="1099" t="s">
        <v>1526</v>
      </c>
      <c r="G64" s="1100" t="s">
        <v>1473</v>
      </c>
      <c r="H64" s="1101">
        <v>3.1468554824488161E-2</v>
      </c>
      <c r="I64" s="1102">
        <f t="shared" si="0"/>
        <v>8.330360205152482E-3</v>
      </c>
    </row>
    <row r="65" spans="6:9" ht="15">
      <c r="F65" s="1099" t="s">
        <v>1526</v>
      </c>
      <c r="G65" s="1100" t="s">
        <v>1477</v>
      </c>
      <c r="H65" s="1101">
        <v>0.13832871313583381</v>
      </c>
      <c r="I65" s="1102">
        <f t="shared" si="0"/>
        <v>0</v>
      </c>
    </row>
    <row r="66" spans="6:9" ht="15">
      <c r="F66" s="1099" t="s">
        <v>1526</v>
      </c>
      <c r="G66" s="1100" t="s">
        <v>1481</v>
      </c>
      <c r="H66" s="1101">
        <v>5.2212684947062563E-2</v>
      </c>
      <c r="I66" s="1102">
        <f t="shared" si="0"/>
        <v>0</v>
      </c>
    </row>
    <row r="67" spans="6:9" ht="15">
      <c r="F67" s="1099" t="s">
        <v>1401</v>
      </c>
      <c r="G67" s="1100" t="s">
        <v>1457</v>
      </c>
      <c r="H67" s="1101">
        <v>0.81728163321961866</v>
      </c>
      <c r="I67" s="1102">
        <f t="shared" si="0"/>
        <v>0.29435802975495629</v>
      </c>
    </row>
    <row r="68" spans="6:9" ht="15">
      <c r="F68" s="1099" t="s">
        <v>1401</v>
      </c>
      <c r="G68" s="1100" t="s">
        <v>1461</v>
      </c>
      <c r="H68" s="1101">
        <v>0.11828798095146575</v>
      </c>
      <c r="I68" s="1102">
        <f t="shared" si="0"/>
        <v>1.8934866568658781E-2</v>
      </c>
    </row>
    <row r="69" spans="6:9" ht="15">
      <c r="F69" s="1099" t="s">
        <v>1401</v>
      </c>
      <c r="G69" s="1100" t="s">
        <v>1471</v>
      </c>
      <c r="H69" s="1101">
        <v>1.5285274223083537E-2</v>
      </c>
      <c r="I69" s="1102">
        <f t="shared" si="0"/>
        <v>2.0474610390293427E-3</v>
      </c>
    </row>
    <row r="70" spans="6:9" ht="15">
      <c r="F70" s="1099" t="s">
        <v>1401</v>
      </c>
      <c r="G70" s="1100" t="s">
        <v>1473</v>
      </c>
      <c r="H70" s="1101">
        <v>2.6391082210868555E-2</v>
      </c>
      <c r="I70" s="1102">
        <f t="shared" si="0"/>
        <v>6.9862509494476865E-3</v>
      </c>
    </row>
    <row r="71" spans="6:9" ht="15">
      <c r="F71" s="1099" t="s">
        <v>1401</v>
      </c>
      <c r="G71" s="1100" t="s">
        <v>1477</v>
      </c>
      <c r="H71" s="1101">
        <v>1.6731211728088582E-2</v>
      </c>
      <c r="I71" s="1102">
        <f t="shared" ref="I71:I134" si="5">H71*VLOOKUP($G71,$B$3:$C$8,2,FALSE)</f>
        <v>0</v>
      </c>
    </row>
    <row r="72" spans="6:9" ht="15">
      <c r="F72" s="1099" t="s">
        <v>1401</v>
      </c>
      <c r="G72" s="1100" t="s">
        <v>1481</v>
      </c>
      <c r="H72" s="1101">
        <v>6.0228176668748771E-3</v>
      </c>
      <c r="I72" s="1102">
        <f t="shared" si="5"/>
        <v>0</v>
      </c>
    </row>
    <row r="73" spans="6:9" ht="15">
      <c r="F73" s="1099" t="s">
        <v>5</v>
      </c>
      <c r="G73" s="1100" t="s">
        <v>1457</v>
      </c>
      <c r="H73" s="1101">
        <v>0.83933039471309312</v>
      </c>
      <c r="I73" s="1102">
        <f t="shared" si="5"/>
        <v>0.30229927023798087</v>
      </c>
    </row>
    <row r="74" spans="6:9" ht="15">
      <c r="F74" s="1099" t="s">
        <v>5</v>
      </c>
      <c r="G74" s="1100" t="s">
        <v>1461</v>
      </c>
      <c r="H74" s="1101">
        <v>0.10873322561775177</v>
      </c>
      <c r="I74" s="1102">
        <f t="shared" si="5"/>
        <v>1.7405395730752716E-2</v>
      </c>
    </row>
    <row r="75" spans="6:9" ht="15">
      <c r="F75" s="1099" t="s">
        <v>5</v>
      </c>
      <c r="G75" s="1100" t="s">
        <v>1471</v>
      </c>
      <c r="H75" s="1101">
        <v>1.4124948624886649E-2</v>
      </c>
      <c r="I75" s="1102">
        <f t="shared" si="5"/>
        <v>1.8920355347025197E-3</v>
      </c>
    </row>
    <row r="76" spans="6:9" ht="15">
      <c r="F76" s="1099" t="s">
        <v>5</v>
      </c>
      <c r="G76" s="1100" t="s">
        <v>1473</v>
      </c>
      <c r="H76" s="1101">
        <v>2.1184813407762914E-2</v>
      </c>
      <c r="I76" s="1102">
        <f t="shared" si="5"/>
        <v>5.6080467485681348E-3</v>
      </c>
    </row>
    <row r="77" spans="6:9" ht="15">
      <c r="F77" s="1099" t="s">
        <v>5</v>
      </c>
      <c r="G77" s="1100" t="s">
        <v>1477</v>
      </c>
      <c r="H77" s="1101">
        <v>1.5014798207253188E-2</v>
      </c>
      <c r="I77" s="1102">
        <f t="shared" si="5"/>
        <v>0</v>
      </c>
    </row>
    <row r="78" spans="6:9" ht="15">
      <c r="F78" s="1099" t="s">
        <v>5</v>
      </c>
      <c r="G78" s="1100" t="s">
        <v>1481</v>
      </c>
      <c r="H78" s="1101">
        <v>1.6118194292523915E-3</v>
      </c>
      <c r="I78" s="1102">
        <f t="shared" si="5"/>
        <v>0</v>
      </c>
    </row>
    <row r="79" spans="6:9" ht="15">
      <c r="F79" s="1099" t="s">
        <v>1487</v>
      </c>
      <c r="G79" s="1100" t="s">
        <v>1457</v>
      </c>
      <c r="H79" s="1101">
        <v>0.71445089006775053</v>
      </c>
      <c r="I79" s="1102">
        <f t="shared" si="5"/>
        <v>0.25732176988798827</v>
      </c>
    </row>
    <row r="80" spans="6:9" ht="15">
      <c r="F80" s="1099" t="s">
        <v>1487</v>
      </c>
      <c r="G80" s="1100" t="s">
        <v>1461</v>
      </c>
      <c r="H80" s="1101">
        <v>0.15863482106759128</v>
      </c>
      <c r="I80" s="1102">
        <f t="shared" si="5"/>
        <v>2.5393359036962083E-2</v>
      </c>
    </row>
    <row r="81" spans="6:9" ht="15">
      <c r="F81" s="1099" t="s">
        <v>1487</v>
      </c>
      <c r="G81" s="1100" t="s">
        <v>1471</v>
      </c>
      <c r="H81" s="1101">
        <v>4.7166546194087458E-2</v>
      </c>
      <c r="I81" s="1102">
        <f t="shared" si="5"/>
        <v>6.3179544094885166E-3</v>
      </c>
    </row>
    <row r="82" spans="6:9" ht="15">
      <c r="F82" s="1099" t="s">
        <v>1487</v>
      </c>
      <c r="G82" s="1100" t="s">
        <v>1473</v>
      </c>
      <c r="H82" s="1101">
        <v>2.1423189542163362E-2</v>
      </c>
      <c r="I82" s="1102">
        <f t="shared" si="5"/>
        <v>5.6711497119848811E-3</v>
      </c>
    </row>
    <row r="83" spans="6:9" ht="15">
      <c r="F83" s="1099" t="s">
        <v>1487</v>
      </c>
      <c r="G83" s="1100" t="s">
        <v>1477</v>
      </c>
      <c r="H83" s="1101">
        <v>4.8330433823799673E-2</v>
      </c>
      <c r="I83" s="1102">
        <f t="shared" si="5"/>
        <v>0</v>
      </c>
    </row>
    <row r="84" spans="6:9" ht="15">
      <c r="F84" s="1099" t="s">
        <v>1487</v>
      </c>
      <c r="G84" s="1100" t="s">
        <v>1481</v>
      </c>
      <c r="H84" s="1101">
        <v>9.9941193046077705E-3</v>
      </c>
      <c r="I84" s="1102">
        <f t="shared" si="5"/>
        <v>0</v>
      </c>
    </row>
    <row r="85" spans="6:9" ht="15">
      <c r="F85" s="1099" t="s">
        <v>1488</v>
      </c>
      <c r="G85" s="1100" t="s">
        <v>1457</v>
      </c>
      <c r="H85" s="1101">
        <v>0.83472591893804116</v>
      </c>
      <c r="I85" s="1102">
        <f t="shared" si="5"/>
        <v>0.30064088913395515</v>
      </c>
    </row>
    <row r="86" spans="6:9" ht="15">
      <c r="F86" s="1099" t="s">
        <v>1488</v>
      </c>
      <c r="G86" s="1100" t="s">
        <v>1461</v>
      </c>
      <c r="H86" s="1101">
        <v>0.10801643186839102</v>
      </c>
      <c r="I86" s="1102">
        <f t="shared" si="5"/>
        <v>1.7290655468113831E-2</v>
      </c>
    </row>
    <row r="87" spans="6:9" ht="15">
      <c r="F87" s="1099" t="s">
        <v>1488</v>
      </c>
      <c r="G87" s="1100" t="s">
        <v>1471</v>
      </c>
      <c r="H87" s="1101">
        <v>5.288375921103928E-3</v>
      </c>
      <c r="I87" s="1102">
        <f t="shared" si="5"/>
        <v>7.0837745533209651E-4</v>
      </c>
    </row>
    <row r="88" spans="6:9" ht="15">
      <c r="F88" s="1099" t="s">
        <v>1488</v>
      </c>
      <c r="G88" s="1100" t="s">
        <v>1473</v>
      </c>
      <c r="H88" s="1101">
        <v>1.4750898843415943E-2</v>
      </c>
      <c r="I88" s="1102">
        <f t="shared" si="5"/>
        <v>3.9048599912125327E-3</v>
      </c>
    </row>
    <row r="89" spans="6:9" ht="15">
      <c r="F89" s="1099" t="s">
        <v>1488</v>
      </c>
      <c r="G89" s="1100" t="s">
        <v>1477</v>
      </c>
      <c r="H89" s="1101">
        <v>3.0186458869791641E-2</v>
      </c>
      <c r="I89" s="1102">
        <f t="shared" si="5"/>
        <v>0</v>
      </c>
    </row>
    <row r="90" spans="6:9" ht="15">
      <c r="F90" s="1099" t="s">
        <v>1488</v>
      </c>
      <c r="G90" s="1100" t="s">
        <v>1481</v>
      </c>
      <c r="H90" s="1101">
        <v>7.0319155592562825E-3</v>
      </c>
      <c r="I90" s="1102">
        <f t="shared" si="5"/>
        <v>0</v>
      </c>
    </row>
    <row r="91" spans="6:9" ht="15">
      <c r="F91" s="1099" t="s">
        <v>1489</v>
      </c>
      <c r="G91" s="1100" t="s">
        <v>1457</v>
      </c>
      <c r="H91" s="1101">
        <v>0.76350519272607864</v>
      </c>
      <c r="I91" s="1102">
        <f t="shared" si="5"/>
        <v>0.27498952026263618</v>
      </c>
    </row>
    <row r="92" spans="6:9" ht="15">
      <c r="F92" s="1099" t="s">
        <v>1489</v>
      </c>
      <c r="G92" s="1100" t="s">
        <v>1461</v>
      </c>
      <c r="H92" s="1101">
        <v>9.5813089715998057E-2</v>
      </c>
      <c r="I92" s="1102">
        <f t="shared" si="5"/>
        <v>1.5337213930870426E-2</v>
      </c>
    </row>
    <row r="93" spans="6:9" ht="15">
      <c r="F93" s="1099" t="s">
        <v>1489</v>
      </c>
      <c r="G93" s="1100" t="s">
        <v>1471</v>
      </c>
      <c r="H93" s="1101">
        <v>8.0671242677112717E-2</v>
      </c>
      <c r="I93" s="1102">
        <f t="shared" si="5"/>
        <v>1.0805905340058011E-2</v>
      </c>
    </row>
    <row r="94" spans="6:9" ht="15">
      <c r="F94" s="1099" t="s">
        <v>1489</v>
      </c>
      <c r="G94" s="1100" t="s">
        <v>1473</v>
      </c>
      <c r="H94" s="1101">
        <v>1.6565008766940132E-2</v>
      </c>
      <c r="I94" s="1102">
        <f t="shared" si="5"/>
        <v>4.3850914222072004E-3</v>
      </c>
    </row>
    <row r="95" spans="6:9" ht="15">
      <c r="F95" s="1099" t="s">
        <v>1489</v>
      </c>
      <c r="G95" s="1100" t="s">
        <v>1477</v>
      </c>
      <c r="H95" s="1101">
        <v>3.6022154849378686E-2</v>
      </c>
      <c r="I95" s="1102">
        <f t="shared" si="5"/>
        <v>0</v>
      </c>
    </row>
    <row r="96" spans="6:9" ht="15">
      <c r="F96" s="1099" t="s">
        <v>1489</v>
      </c>
      <c r="G96" s="1100" t="s">
        <v>1481</v>
      </c>
      <c r="H96" s="1101">
        <v>7.42331126449184E-3</v>
      </c>
      <c r="I96" s="1102">
        <f t="shared" si="5"/>
        <v>0</v>
      </c>
    </row>
    <row r="97" spans="6:9" ht="15">
      <c r="F97" s="1099" t="s">
        <v>1490</v>
      </c>
      <c r="G97" s="1100" t="s">
        <v>1457</v>
      </c>
      <c r="H97" s="1101">
        <v>0.85004048342653049</v>
      </c>
      <c r="I97" s="1102">
        <f t="shared" si="5"/>
        <v>0.30615669280083574</v>
      </c>
    </row>
    <row r="98" spans="6:9" ht="15">
      <c r="F98" s="1099" t="s">
        <v>1490</v>
      </c>
      <c r="G98" s="1100" t="s">
        <v>1461</v>
      </c>
      <c r="H98" s="1101">
        <v>0.10343672135364707</v>
      </c>
      <c r="I98" s="1102">
        <f t="shared" si="5"/>
        <v>1.6557561481537624E-2</v>
      </c>
    </row>
    <row r="99" spans="6:9" ht="15">
      <c r="F99" s="1099" t="s">
        <v>1490</v>
      </c>
      <c r="G99" s="1100" t="s">
        <v>1471</v>
      </c>
      <c r="H99" s="1101">
        <v>6.5281380427129011E-3</v>
      </c>
      <c r="I99" s="1102">
        <f t="shared" si="5"/>
        <v>8.7444347447000249E-4</v>
      </c>
    </row>
    <row r="100" spans="6:9" ht="15">
      <c r="F100" s="1099" t="s">
        <v>1490</v>
      </c>
      <c r="G100" s="1100" t="s">
        <v>1473</v>
      </c>
      <c r="H100" s="1101">
        <v>1.3257786257402038E-2</v>
      </c>
      <c r="I100" s="1102">
        <f t="shared" si="5"/>
        <v>3.5096030200006409E-3</v>
      </c>
    </row>
    <row r="101" spans="6:9" ht="15">
      <c r="F101" s="1099" t="s">
        <v>1490</v>
      </c>
      <c r="G101" s="1100" t="s">
        <v>1477</v>
      </c>
      <c r="H101" s="1101">
        <v>2.1935586003782852E-2</v>
      </c>
      <c r="I101" s="1102">
        <f t="shared" si="5"/>
        <v>0</v>
      </c>
    </row>
    <row r="102" spans="6:9" ht="15">
      <c r="F102" s="1099" t="s">
        <v>1490</v>
      </c>
      <c r="G102" s="1100" t="s">
        <v>1481</v>
      </c>
      <c r="H102" s="1101">
        <v>4.8012849159247452E-3</v>
      </c>
      <c r="I102" s="1102">
        <f t="shared" si="5"/>
        <v>0</v>
      </c>
    </row>
    <row r="103" spans="6:9" ht="15">
      <c r="F103" s="1099" t="s">
        <v>1491</v>
      </c>
      <c r="G103" s="1100" t="s">
        <v>1457</v>
      </c>
      <c r="H103" s="1101">
        <v>0.84954783919794008</v>
      </c>
      <c r="I103" s="1102">
        <f t="shared" si="5"/>
        <v>0.30597925851306551</v>
      </c>
    </row>
    <row r="104" spans="6:9" ht="15">
      <c r="F104" s="1099" t="s">
        <v>1491</v>
      </c>
      <c r="G104" s="1100" t="s">
        <v>1461</v>
      </c>
      <c r="H104" s="1101">
        <v>9.1904280581127679E-2</v>
      </c>
      <c r="I104" s="1102">
        <f t="shared" si="5"/>
        <v>1.4711514017694183E-2</v>
      </c>
    </row>
    <row r="105" spans="6:9" ht="15">
      <c r="F105" s="1099" t="s">
        <v>1491</v>
      </c>
      <c r="G105" s="1100" t="s">
        <v>1471</v>
      </c>
      <c r="H105" s="1101">
        <v>9.1622499699052663E-3</v>
      </c>
      <c r="I105" s="1102">
        <f t="shared" si="5"/>
        <v>1.2272825184188568E-3</v>
      </c>
    </row>
    <row r="106" spans="6:9" ht="15">
      <c r="F106" s="1099" t="s">
        <v>1491</v>
      </c>
      <c r="G106" s="1100" t="s">
        <v>1473</v>
      </c>
      <c r="H106" s="1101">
        <v>1.0821999891053693E-2</v>
      </c>
      <c r="I106" s="1102">
        <f t="shared" si="5"/>
        <v>2.8648013146903226E-3</v>
      </c>
    </row>
    <row r="107" spans="6:9" ht="15">
      <c r="F107" s="1099" t="s">
        <v>1491</v>
      </c>
      <c r="G107" s="1100" t="s">
        <v>1477</v>
      </c>
      <c r="H107" s="1101">
        <v>3.4791532585369864E-2</v>
      </c>
      <c r="I107" s="1102">
        <f t="shared" si="5"/>
        <v>0</v>
      </c>
    </row>
    <row r="108" spans="6:9" ht="15">
      <c r="F108" s="1099" t="s">
        <v>1491</v>
      </c>
      <c r="G108" s="1100" t="s">
        <v>1481</v>
      </c>
      <c r="H108" s="1101">
        <v>3.77209777460354E-3</v>
      </c>
      <c r="I108" s="1102">
        <f t="shared" si="5"/>
        <v>0</v>
      </c>
    </row>
    <row r="109" spans="6:9" ht="15">
      <c r="F109" s="1099" t="s">
        <v>1492</v>
      </c>
      <c r="G109" s="1100" t="s">
        <v>1457</v>
      </c>
      <c r="H109" s="1101">
        <v>0.84740904671291617</v>
      </c>
      <c r="I109" s="1102">
        <f t="shared" si="5"/>
        <v>0.30520893563248613</v>
      </c>
    </row>
    <row r="110" spans="6:9" ht="15">
      <c r="F110" s="1099" t="s">
        <v>1492</v>
      </c>
      <c r="G110" s="1100" t="s">
        <v>1461</v>
      </c>
      <c r="H110" s="1101">
        <v>0.10480729654440142</v>
      </c>
      <c r="I110" s="1102">
        <f t="shared" si="5"/>
        <v>1.6776955355289652E-2</v>
      </c>
    </row>
    <row r="111" spans="6:9" ht="15">
      <c r="F111" s="1099" t="s">
        <v>1492</v>
      </c>
      <c r="G111" s="1100" t="s">
        <v>1471</v>
      </c>
      <c r="H111" s="1101">
        <v>3.8959741352055876E-3</v>
      </c>
      <c r="I111" s="1102">
        <f t="shared" si="5"/>
        <v>5.2186536757403918E-4</v>
      </c>
    </row>
    <row r="112" spans="6:9" ht="15">
      <c r="F112" s="1099" t="s">
        <v>1492</v>
      </c>
      <c r="G112" s="1100" t="s">
        <v>1473</v>
      </c>
      <c r="H112" s="1101">
        <v>1.4162704827577978E-2</v>
      </c>
      <c r="I112" s="1102">
        <f t="shared" si="5"/>
        <v>3.7491531896204737E-3</v>
      </c>
    </row>
    <row r="113" spans="6:9" ht="15">
      <c r="F113" s="1099" t="s">
        <v>1492</v>
      </c>
      <c r="G113" s="1100" t="s">
        <v>1477</v>
      </c>
      <c r="H113" s="1101">
        <v>2.5858083643022885E-2</v>
      </c>
      <c r="I113" s="1102">
        <f t="shared" si="5"/>
        <v>0</v>
      </c>
    </row>
    <row r="114" spans="6:9" ht="15">
      <c r="F114" s="1099" t="s">
        <v>1492</v>
      </c>
      <c r="G114" s="1100" t="s">
        <v>1481</v>
      </c>
      <c r="H114" s="1101">
        <v>3.8668941368758237E-3</v>
      </c>
      <c r="I114" s="1102">
        <f t="shared" si="5"/>
        <v>0</v>
      </c>
    </row>
    <row r="115" spans="6:9" ht="15">
      <c r="F115" s="1099" t="s">
        <v>1493</v>
      </c>
      <c r="G115" s="1100" t="s">
        <v>1457</v>
      </c>
      <c r="H115" s="1101">
        <v>0.84439587912905567</v>
      </c>
      <c r="I115" s="1102">
        <f t="shared" si="5"/>
        <v>0.30412369152903967</v>
      </c>
    </row>
    <row r="116" spans="6:9" ht="15">
      <c r="F116" s="1099" t="s">
        <v>1493</v>
      </c>
      <c r="G116" s="1100" t="s">
        <v>1461</v>
      </c>
      <c r="H116" s="1101">
        <v>0.10939473113570558</v>
      </c>
      <c r="I116" s="1102">
        <f t="shared" si="5"/>
        <v>1.7511285768067885E-2</v>
      </c>
    </row>
    <row r="117" spans="6:9" ht="15">
      <c r="F117" s="1099" t="s">
        <v>1493</v>
      </c>
      <c r="G117" s="1100" t="s">
        <v>1471</v>
      </c>
      <c r="H117" s="1101">
        <v>7.0102001335073756E-3</v>
      </c>
      <c r="I117" s="1102">
        <f t="shared" si="5"/>
        <v>9.3901564601823399E-4</v>
      </c>
    </row>
    <row r="118" spans="6:9" ht="15">
      <c r="F118" s="1099" t="s">
        <v>1493</v>
      </c>
      <c r="G118" s="1100" t="s">
        <v>1473</v>
      </c>
      <c r="H118" s="1101">
        <v>1.5427223599341816E-2</v>
      </c>
      <c r="I118" s="1102">
        <f t="shared" si="5"/>
        <v>4.0838967745649123E-3</v>
      </c>
    </row>
    <row r="119" spans="6:9" ht="15">
      <c r="F119" s="1099" t="s">
        <v>1493</v>
      </c>
      <c r="G119" s="1100" t="s">
        <v>1477</v>
      </c>
      <c r="H119" s="1101">
        <v>2.1176756961304121E-2</v>
      </c>
      <c r="I119" s="1102">
        <f t="shared" si="5"/>
        <v>0</v>
      </c>
    </row>
    <row r="120" spans="6:9" ht="15">
      <c r="F120" s="1099" t="s">
        <v>1493</v>
      </c>
      <c r="G120" s="1100" t="s">
        <v>1481</v>
      </c>
      <c r="H120" s="1101">
        <v>2.5952090410854066E-3</v>
      </c>
      <c r="I120" s="1102">
        <f t="shared" si="5"/>
        <v>0</v>
      </c>
    </row>
    <row r="121" spans="6:9" ht="15">
      <c r="F121" s="1099" t="s">
        <v>1494</v>
      </c>
      <c r="G121" s="1100" t="s">
        <v>1457</v>
      </c>
      <c r="H121" s="1101">
        <v>0.85080710578625729</v>
      </c>
      <c r="I121" s="1102">
        <f t="shared" si="5"/>
        <v>0.30643280502237963</v>
      </c>
    </row>
    <row r="122" spans="6:9" ht="15">
      <c r="F122" s="1099" t="s">
        <v>1494</v>
      </c>
      <c r="G122" s="1100" t="s">
        <v>1461</v>
      </c>
      <c r="H122" s="1101">
        <v>0.10061495040662471</v>
      </c>
      <c r="I122" s="1102">
        <f t="shared" si="5"/>
        <v>1.6105868452884878E-2</v>
      </c>
    </row>
    <row r="123" spans="6:9" ht="15">
      <c r="F123" s="1099" t="s">
        <v>1494</v>
      </c>
      <c r="G123" s="1100" t="s">
        <v>1471</v>
      </c>
      <c r="H123" s="1101">
        <v>1.0072399359783487E-2</v>
      </c>
      <c r="I123" s="1102">
        <f t="shared" si="5"/>
        <v>1.3491969432616751E-3</v>
      </c>
    </row>
    <row r="124" spans="6:9" ht="15">
      <c r="F124" s="1099" t="s">
        <v>1494</v>
      </c>
      <c r="G124" s="1100" t="s">
        <v>1473</v>
      </c>
      <c r="H124" s="1101">
        <v>1.6671906059024813E-2</v>
      </c>
      <c r="I124" s="1102">
        <f t="shared" si="5"/>
        <v>4.4133892882193965E-3</v>
      </c>
    </row>
    <row r="125" spans="6:9" ht="15">
      <c r="F125" s="1099" t="s">
        <v>1494</v>
      </c>
      <c r="G125" s="1100" t="s">
        <v>1477</v>
      </c>
      <c r="H125" s="1101">
        <v>1.7984679697593976E-2</v>
      </c>
      <c r="I125" s="1102">
        <f t="shared" si="5"/>
        <v>0</v>
      </c>
    </row>
    <row r="126" spans="6:9" ht="15">
      <c r="F126" s="1099" t="s">
        <v>1494</v>
      </c>
      <c r="G126" s="1100" t="s">
        <v>1481</v>
      </c>
      <c r="H126" s="1101">
        <v>3.8489586907157433E-3</v>
      </c>
      <c r="I126" s="1102">
        <f t="shared" si="5"/>
        <v>0</v>
      </c>
    </row>
    <row r="127" spans="6:9" ht="15">
      <c r="F127" s="1099" t="s">
        <v>1495</v>
      </c>
      <c r="G127" s="1100" t="s">
        <v>1457</v>
      </c>
      <c r="H127" s="1101">
        <v>0.83032787295486044</v>
      </c>
      <c r="I127" s="1102">
        <f t="shared" si="5"/>
        <v>0.29905685726812109</v>
      </c>
    </row>
    <row r="128" spans="6:9" ht="15">
      <c r="F128" s="1099" t="s">
        <v>1495</v>
      </c>
      <c r="G128" s="1100" t="s">
        <v>1461</v>
      </c>
      <c r="H128" s="1101">
        <v>0.10179026340945829</v>
      </c>
      <c r="I128" s="1102">
        <f t="shared" si="5"/>
        <v>1.6294005867236339E-2</v>
      </c>
    </row>
    <row r="129" spans="6:9" ht="15">
      <c r="F129" s="1099" t="s">
        <v>1495</v>
      </c>
      <c r="G129" s="1100" t="s">
        <v>1471</v>
      </c>
      <c r="H129" s="1101">
        <v>6.8634271424019306E-3</v>
      </c>
      <c r="I129" s="1102">
        <f t="shared" si="5"/>
        <v>9.1935541771716951E-4</v>
      </c>
    </row>
    <row r="130" spans="6:9" ht="15">
      <c r="F130" s="1099" t="s">
        <v>1495</v>
      </c>
      <c r="G130" s="1100" t="s">
        <v>1473</v>
      </c>
      <c r="H130" s="1101">
        <v>1.6049141737945208E-2</v>
      </c>
      <c r="I130" s="1102">
        <f t="shared" si="5"/>
        <v>4.2485310306208208E-3</v>
      </c>
    </row>
    <row r="131" spans="6:9" ht="15">
      <c r="F131" s="1099" t="s">
        <v>1495</v>
      </c>
      <c r="G131" s="1100" t="s">
        <v>1477</v>
      </c>
      <c r="H131" s="1101">
        <v>4.1193909334027341E-2</v>
      </c>
      <c r="I131" s="1102">
        <f t="shared" si="5"/>
        <v>0</v>
      </c>
    </row>
    <row r="132" spans="6:9" ht="15">
      <c r="F132" s="1099" t="s">
        <v>1495</v>
      </c>
      <c r="G132" s="1100" t="s">
        <v>1481</v>
      </c>
      <c r="H132" s="1101">
        <v>3.7753854213066528E-3</v>
      </c>
      <c r="I132" s="1102">
        <f t="shared" si="5"/>
        <v>0</v>
      </c>
    </row>
    <row r="133" spans="6:9" ht="15">
      <c r="F133" s="1099" t="s">
        <v>1496</v>
      </c>
      <c r="G133" s="1100" t="s">
        <v>1457</v>
      </c>
      <c r="H133" s="1101">
        <v>0.78693352789312521</v>
      </c>
      <c r="I133" s="1102">
        <f t="shared" si="5"/>
        <v>0.28342763791987879</v>
      </c>
    </row>
    <row r="134" spans="6:9" ht="15">
      <c r="F134" s="1099" t="s">
        <v>1496</v>
      </c>
      <c r="G134" s="1100" t="s">
        <v>1461</v>
      </c>
      <c r="H134" s="1101">
        <v>0.10330823859620264</v>
      </c>
      <c r="I134" s="1102">
        <f t="shared" si="5"/>
        <v>1.6536994693187576E-2</v>
      </c>
    </row>
    <row r="135" spans="6:9" ht="15">
      <c r="F135" s="1099" t="s">
        <v>1496</v>
      </c>
      <c r="G135" s="1100" t="s">
        <v>1471</v>
      </c>
      <c r="H135" s="1101">
        <v>5.8806725237780681E-2</v>
      </c>
      <c r="I135" s="1102">
        <f t="shared" ref="I135:I198" si="6">H135*VLOOKUP($G135,$B$3:$C$8,2,FALSE)</f>
        <v>7.8771552933886452E-3</v>
      </c>
    </row>
    <row r="136" spans="6:9" ht="15">
      <c r="F136" s="1099" t="s">
        <v>1496</v>
      </c>
      <c r="G136" s="1100" t="s">
        <v>1473</v>
      </c>
      <c r="H136" s="1101">
        <v>2.0146411873630626E-2</v>
      </c>
      <c r="I136" s="1102">
        <f t="shared" si="6"/>
        <v>5.3331609501846176E-3</v>
      </c>
    </row>
    <row r="137" spans="6:9" ht="15">
      <c r="F137" s="1099" t="s">
        <v>1496</v>
      </c>
      <c r="G137" s="1100" t="s">
        <v>1477</v>
      </c>
      <c r="H137" s="1101">
        <v>2.692430417274207E-2</v>
      </c>
      <c r="I137" s="1102">
        <f t="shared" si="6"/>
        <v>0</v>
      </c>
    </row>
    <row r="138" spans="6:9" ht="15">
      <c r="F138" s="1099" t="s">
        <v>1496</v>
      </c>
      <c r="G138" s="1100" t="s">
        <v>1481</v>
      </c>
      <c r="H138" s="1101">
        <v>3.8807922265187101E-3</v>
      </c>
      <c r="I138" s="1102">
        <f t="shared" si="6"/>
        <v>0</v>
      </c>
    </row>
    <row r="139" spans="6:9" ht="15">
      <c r="F139" s="1099" t="s">
        <v>1497</v>
      </c>
      <c r="G139" s="1100" t="s">
        <v>1457</v>
      </c>
      <c r="H139" s="1101">
        <v>0.72805296783134854</v>
      </c>
      <c r="I139" s="1102">
        <f t="shared" si="6"/>
        <v>0.26222079202224746</v>
      </c>
    </row>
    <row r="140" spans="6:9" ht="15">
      <c r="F140" s="1099" t="s">
        <v>1497</v>
      </c>
      <c r="G140" s="1100" t="s">
        <v>1461</v>
      </c>
      <c r="H140" s="1101">
        <v>9.3808935677404157E-2</v>
      </c>
      <c r="I140" s="1102">
        <f t="shared" si="6"/>
        <v>1.5016400362166565E-2</v>
      </c>
    </row>
    <row r="141" spans="6:9" ht="15">
      <c r="F141" s="1099" t="s">
        <v>1497</v>
      </c>
      <c r="G141" s="1100" t="s">
        <v>1471</v>
      </c>
      <c r="H141" s="1101">
        <v>9.1301230915675227E-2</v>
      </c>
      <c r="I141" s="1102">
        <f t="shared" si="6"/>
        <v>1.2229791260987617E-2</v>
      </c>
    </row>
    <row r="142" spans="6:9" ht="15">
      <c r="F142" s="1099" t="s">
        <v>1497</v>
      </c>
      <c r="G142" s="1100" t="s">
        <v>1473</v>
      </c>
      <c r="H142" s="1101">
        <v>2.5340209546989113E-2</v>
      </c>
      <c r="I142" s="1102">
        <f t="shared" si="6"/>
        <v>6.7080637918648543E-3</v>
      </c>
    </row>
    <row r="143" spans="6:9" ht="15">
      <c r="F143" s="1099" t="s">
        <v>1497</v>
      </c>
      <c r="G143" s="1100" t="s">
        <v>1477</v>
      </c>
      <c r="H143" s="1101">
        <v>5.0393162671309499E-2</v>
      </c>
      <c r="I143" s="1102">
        <f t="shared" si="6"/>
        <v>0</v>
      </c>
    </row>
    <row r="144" spans="6:9" ht="15">
      <c r="F144" s="1099" t="s">
        <v>1497</v>
      </c>
      <c r="G144" s="1100" t="s">
        <v>1481</v>
      </c>
      <c r="H144" s="1101">
        <v>1.1103493357273455E-2</v>
      </c>
      <c r="I144" s="1102">
        <f t="shared" si="6"/>
        <v>0</v>
      </c>
    </row>
    <row r="145" spans="6:9" ht="15">
      <c r="F145" s="1099" t="s">
        <v>1498</v>
      </c>
      <c r="G145" s="1100" t="s">
        <v>1457</v>
      </c>
      <c r="H145" s="1101">
        <v>0.85185930072785587</v>
      </c>
      <c r="I145" s="1102">
        <f t="shared" si="6"/>
        <v>0.30681177111844488</v>
      </c>
    </row>
    <row r="146" spans="6:9" ht="15">
      <c r="F146" s="1099" t="s">
        <v>1498</v>
      </c>
      <c r="G146" s="1100" t="s">
        <v>1461</v>
      </c>
      <c r="H146" s="1101">
        <v>9.6712268650796906E-2</v>
      </c>
      <c r="I146" s="1102">
        <f t="shared" si="6"/>
        <v>1.5481149375662156E-2</v>
      </c>
    </row>
    <row r="147" spans="6:9" ht="15">
      <c r="F147" s="1099" t="s">
        <v>1498</v>
      </c>
      <c r="G147" s="1100" t="s">
        <v>1471</v>
      </c>
      <c r="H147" s="1101">
        <v>1.0910447778707364E-2</v>
      </c>
      <c r="I147" s="1102">
        <f t="shared" si="6"/>
        <v>1.4614534498525416E-3</v>
      </c>
    </row>
    <row r="148" spans="6:9" ht="15">
      <c r="F148" s="1099" t="s">
        <v>1498</v>
      </c>
      <c r="G148" s="1100" t="s">
        <v>1473</v>
      </c>
      <c r="H148" s="1101">
        <v>1.4531774910264727E-2</v>
      </c>
      <c r="I148" s="1102">
        <f t="shared" si="6"/>
        <v>3.8468534731852444E-3</v>
      </c>
    </row>
    <row r="149" spans="6:9" ht="15">
      <c r="F149" s="1099" t="s">
        <v>1498</v>
      </c>
      <c r="G149" s="1100" t="s">
        <v>1477</v>
      </c>
      <c r="H149" s="1101">
        <v>2.1710596565007761E-2</v>
      </c>
      <c r="I149" s="1102">
        <f t="shared" si="6"/>
        <v>0</v>
      </c>
    </row>
    <row r="150" spans="6:9" ht="15">
      <c r="F150" s="1099" t="s">
        <v>1498</v>
      </c>
      <c r="G150" s="1100" t="s">
        <v>1481</v>
      </c>
      <c r="H150" s="1101">
        <v>4.2756113673672212E-3</v>
      </c>
      <c r="I150" s="1102">
        <f t="shared" si="6"/>
        <v>0</v>
      </c>
    </row>
    <row r="151" spans="6:9" ht="15">
      <c r="F151" s="1099" t="s">
        <v>1499</v>
      </c>
      <c r="G151" s="1100" t="s">
        <v>1457</v>
      </c>
      <c r="H151" s="1101">
        <v>0.82952109456971324</v>
      </c>
      <c r="I151" s="1102">
        <f t="shared" si="6"/>
        <v>0.29876628216371642</v>
      </c>
    </row>
    <row r="152" spans="6:9" ht="15">
      <c r="F152" s="1099" t="s">
        <v>1499</v>
      </c>
      <c r="G152" s="1100" t="s">
        <v>1461</v>
      </c>
      <c r="H152" s="1101">
        <v>9.5724960673255172E-2</v>
      </c>
      <c r="I152" s="1102">
        <f t="shared" si="6"/>
        <v>1.5323106735433174E-2</v>
      </c>
    </row>
    <row r="153" spans="6:9" ht="15">
      <c r="F153" s="1099" t="s">
        <v>1499</v>
      </c>
      <c r="G153" s="1100" t="s">
        <v>1471</v>
      </c>
      <c r="H153" s="1101">
        <v>2.0646735919154505E-2</v>
      </c>
      <c r="I153" s="1102">
        <f t="shared" si="6"/>
        <v>2.7656283270179119E-3</v>
      </c>
    </row>
    <row r="154" spans="6:9" ht="15">
      <c r="F154" s="1099" t="s">
        <v>1499</v>
      </c>
      <c r="G154" s="1100" t="s">
        <v>1473</v>
      </c>
      <c r="H154" s="1101">
        <v>1.738055037175272E-2</v>
      </c>
      <c r="I154" s="1102">
        <f t="shared" si="6"/>
        <v>4.6009817091386563E-3</v>
      </c>
    </row>
    <row r="155" spans="6:9" ht="15">
      <c r="F155" s="1099" t="s">
        <v>1499</v>
      </c>
      <c r="G155" s="1100" t="s">
        <v>1477</v>
      </c>
      <c r="H155" s="1101">
        <v>3.0187661457919214E-2</v>
      </c>
      <c r="I155" s="1102">
        <f t="shared" si="6"/>
        <v>0</v>
      </c>
    </row>
    <row r="156" spans="6:9" ht="15">
      <c r="F156" s="1099" t="s">
        <v>1499</v>
      </c>
      <c r="G156" s="1100" t="s">
        <v>1481</v>
      </c>
      <c r="H156" s="1101">
        <v>6.5389970082052199E-3</v>
      </c>
      <c r="I156" s="1102">
        <f t="shared" si="6"/>
        <v>0</v>
      </c>
    </row>
    <row r="157" spans="6:9" ht="15">
      <c r="F157" s="1099" t="s">
        <v>1500</v>
      </c>
      <c r="G157" s="1100" t="s">
        <v>1457</v>
      </c>
      <c r="H157" s="1101">
        <v>0.86603067533401412</v>
      </c>
      <c r="I157" s="1102">
        <f t="shared" si="6"/>
        <v>0.31191583529709899</v>
      </c>
    </row>
    <row r="158" spans="6:9" ht="15">
      <c r="F158" s="1099" t="s">
        <v>1500</v>
      </c>
      <c r="G158" s="1100" t="s">
        <v>1461</v>
      </c>
      <c r="H158" s="1101">
        <v>0.10120796310507699</v>
      </c>
      <c r="I158" s="1102">
        <f t="shared" si="6"/>
        <v>1.620079454958883E-2</v>
      </c>
    </row>
    <row r="159" spans="6:9" ht="15">
      <c r="F159" s="1099" t="s">
        <v>1500</v>
      </c>
      <c r="G159" s="1100" t="s">
        <v>1471</v>
      </c>
      <c r="H159" s="1101">
        <v>2.8043024420527428E-3</v>
      </c>
      <c r="I159" s="1102">
        <f t="shared" si="6"/>
        <v>3.7563604734593657E-4</v>
      </c>
    </row>
    <row r="160" spans="6:9" ht="15">
      <c r="F160" s="1099" t="s">
        <v>1500</v>
      </c>
      <c r="G160" s="1100" t="s">
        <v>1473</v>
      </c>
      <c r="H160" s="1101">
        <v>1.5785667426438249E-2</v>
      </c>
      <c r="I160" s="1102">
        <f t="shared" si="6"/>
        <v>4.1787840742734794E-3</v>
      </c>
    </row>
    <row r="161" spans="6:9" ht="15">
      <c r="F161" s="1099" t="s">
        <v>1500</v>
      </c>
      <c r="G161" s="1100" t="s">
        <v>1477</v>
      </c>
      <c r="H161" s="1101">
        <v>1.3454754824194641E-2</v>
      </c>
      <c r="I161" s="1102">
        <f t="shared" si="6"/>
        <v>0</v>
      </c>
    </row>
    <row r="162" spans="6:9" ht="15">
      <c r="F162" s="1099" t="s">
        <v>1500</v>
      </c>
      <c r="G162" s="1100" t="s">
        <v>1481</v>
      </c>
      <c r="H162" s="1101">
        <v>7.1663686822317455E-4</v>
      </c>
      <c r="I162" s="1102">
        <f t="shared" si="6"/>
        <v>0</v>
      </c>
    </row>
    <row r="163" spans="6:9" ht="15">
      <c r="F163" s="1099" t="s">
        <v>1501</v>
      </c>
      <c r="G163" s="1100" t="s">
        <v>1457</v>
      </c>
      <c r="H163" s="1101">
        <v>0.84828452507204022</v>
      </c>
      <c r="I163" s="1102">
        <f t="shared" si="6"/>
        <v>0.30552425421351143</v>
      </c>
    </row>
    <row r="164" spans="6:9" ht="15">
      <c r="F164" s="1099" t="s">
        <v>1501</v>
      </c>
      <c r="G164" s="1100" t="s">
        <v>1461</v>
      </c>
      <c r="H164" s="1101">
        <v>0.10151868408676093</v>
      </c>
      <c r="I164" s="1102">
        <f t="shared" si="6"/>
        <v>1.6250532995379718E-2</v>
      </c>
    </row>
    <row r="165" spans="6:9" ht="15">
      <c r="F165" s="1099" t="s">
        <v>1501</v>
      </c>
      <c r="G165" s="1100" t="s">
        <v>1471</v>
      </c>
      <c r="H165" s="1101">
        <v>1.1298908639531815E-2</v>
      </c>
      <c r="I165" s="1102">
        <f t="shared" si="6"/>
        <v>1.5134877454836089E-3</v>
      </c>
    </row>
    <row r="166" spans="6:9" ht="15">
      <c r="F166" s="1099" t="s">
        <v>1501</v>
      </c>
      <c r="G166" s="1100" t="s">
        <v>1473</v>
      </c>
      <c r="H166" s="1101">
        <v>1.5875042734217849E-2</v>
      </c>
      <c r="I166" s="1102">
        <f t="shared" si="6"/>
        <v>4.2024435181660554E-3</v>
      </c>
    </row>
    <row r="167" spans="6:9" ht="15">
      <c r="F167" s="1099" t="s">
        <v>1501</v>
      </c>
      <c r="G167" s="1100" t="s">
        <v>1477</v>
      </c>
      <c r="H167" s="1101">
        <v>2.0541378044430219E-2</v>
      </c>
      <c r="I167" s="1102">
        <f t="shared" si="6"/>
        <v>0</v>
      </c>
    </row>
    <row r="168" spans="6:9" ht="15">
      <c r="F168" s="1099" t="s">
        <v>1501</v>
      </c>
      <c r="G168" s="1100" t="s">
        <v>1481</v>
      </c>
      <c r="H168" s="1101">
        <v>2.4814614230188304E-3</v>
      </c>
      <c r="I168" s="1102">
        <f t="shared" si="6"/>
        <v>0</v>
      </c>
    </row>
    <row r="169" spans="6:9" ht="15">
      <c r="F169" s="1099" t="s">
        <v>1502</v>
      </c>
      <c r="G169" s="1100" t="s">
        <v>1457</v>
      </c>
      <c r="H169" s="1101">
        <v>0.81053422571336953</v>
      </c>
      <c r="I169" s="1102">
        <f t="shared" si="6"/>
        <v>0.29192783494968583</v>
      </c>
    </row>
    <row r="170" spans="6:9" ht="15">
      <c r="F170" s="1099" t="s">
        <v>1502</v>
      </c>
      <c r="G170" s="1100" t="s">
        <v>1461</v>
      </c>
      <c r="H170" s="1101">
        <v>0.11507294004488618</v>
      </c>
      <c r="I170" s="1102">
        <f t="shared" si="6"/>
        <v>1.8420221123794506E-2</v>
      </c>
    </row>
    <row r="171" spans="6:9" ht="15">
      <c r="F171" s="1099" t="s">
        <v>1502</v>
      </c>
      <c r="G171" s="1100" t="s">
        <v>1471</v>
      </c>
      <c r="H171" s="1101">
        <v>9.3379288233408145E-3</v>
      </c>
      <c r="I171" s="1102">
        <f t="shared" si="6"/>
        <v>1.250814684249904E-3</v>
      </c>
    </row>
    <row r="172" spans="6:9" ht="15">
      <c r="F172" s="1099" t="s">
        <v>1502</v>
      </c>
      <c r="G172" s="1100" t="s">
        <v>1473</v>
      </c>
      <c r="H172" s="1101">
        <v>1.2201426739339532E-2</v>
      </c>
      <c r="I172" s="1102">
        <f t="shared" si="6"/>
        <v>3.2299633816161642E-3</v>
      </c>
    </row>
    <row r="173" spans="6:9" ht="15">
      <c r="F173" s="1099" t="s">
        <v>1502</v>
      </c>
      <c r="G173" s="1100" t="s">
        <v>1477</v>
      </c>
      <c r="H173" s="1101">
        <v>4.3042641872394996E-2</v>
      </c>
      <c r="I173" s="1102">
        <f t="shared" si="6"/>
        <v>0</v>
      </c>
    </row>
    <row r="174" spans="6:9" ht="15">
      <c r="F174" s="1099" t="s">
        <v>1502</v>
      </c>
      <c r="G174" s="1100" t="s">
        <v>1481</v>
      </c>
      <c r="H174" s="1101">
        <v>9.8108368066688028E-3</v>
      </c>
      <c r="I174" s="1102">
        <f t="shared" si="6"/>
        <v>0</v>
      </c>
    </row>
    <row r="175" spans="6:9" ht="15">
      <c r="F175" s="1099" t="s">
        <v>1503</v>
      </c>
      <c r="G175" s="1100" t="s">
        <v>1457</v>
      </c>
      <c r="H175" s="1101">
        <v>0.84016030589855561</v>
      </c>
      <c r="I175" s="1102">
        <f t="shared" si="6"/>
        <v>0.30259817701808556</v>
      </c>
    </row>
    <row r="176" spans="6:9" ht="15">
      <c r="F176" s="1099" t="s">
        <v>1503</v>
      </c>
      <c r="G176" s="1100" t="s">
        <v>1461</v>
      </c>
      <c r="H176" s="1101">
        <v>0.10831340915214946</v>
      </c>
      <c r="I176" s="1102">
        <f t="shared" si="6"/>
        <v>1.7338193900984674E-2</v>
      </c>
    </row>
    <row r="177" spans="6:9" ht="15">
      <c r="F177" s="1099" t="s">
        <v>1503</v>
      </c>
      <c r="G177" s="1100" t="s">
        <v>1471</v>
      </c>
      <c r="H177" s="1101">
        <v>5.1731585993336267E-3</v>
      </c>
      <c r="I177" s="1102">
        <f t="shared" si="6"/>
        <v>6.9294410595915933E-4</v>
      </c>
    </row>
    <row r="178" spans="6:9" ht="15">
      <c r="F178" s="1099" t="s">
        <v>1503</v>
      </c>
      <c r="G178" s="1100" t="s">
        <v>1473</v>
      </c>
      <c r="H178" s="1101">
        <v>1.3226947472872461E-2</v>
      </c>
      <c r="I178" s="1102">
        <f t="shared" si="6"/>
        <v>3.5014393726754533E-3</v>
      </c>
    </row>
    <row r="179" spans="6:9" ht="15">
      <c r="F179" s="1099" t="s">
        <v>1503</v>
      </c>
      <c r="G179" s="1100" t="s">
        <v>1477</v>
      </c>
      <c r="H179" s="1101">
        <v>2.8543260779374087E-2</v>
      </c>
      <c r="I179" s="1102">
        <f t="shared" si="6"/>
        <v>0</v>
      </c>
    </row>
    <row r="180" spans="6:9" ht="15">
      <c r="F180" s="1099" t="s">
        <v>1503</v>
      </c>
      <c r="G180" s="1100" t="s">
        <v>1481</v>
      </c>
      <c r="H180" s="1101">
        <v>4.5829180977147426E-3</v>
      </c>
      <c r="I180" s="1102">
        <f t="shared" si="6"/>
        <v>0</v>
      </c>
    </row>
    <row r="181" spans="6:9" ht="15">
      <c r="F181" s="1099" t="s">
        <v>1504</v>
      </c>
      <c r="G181" s="1100" t="s">
        <v>1457</v>
      </c>
      <c r="H181" s="1101">
        <v>0.78906873609445671</v>
      </c>
      <c r="I181" s="1102">
        <f t="shared" si="6"/>
        <v>0.28419666985907044</v>
      </c>
    </row>
    <row r="182" spans="6:9" ht="15">
      <c r="F182" s="1099" t="s">
        <v>1504</v>
      </c>
      <c r="G182" s="1100" t="s">
        <v>1461</v>
      </c>
      <c r="H182" s="1101">
        <v>0.13306450174731019</v>
      </c>
      <c r="I182" s="1102">
        <f t="shared" si="6"/>
        <v>2.1300207893853316E-2</v>
      </c>
    </row>
    <row r="183" spans="6:9" ht="15">
      <c r="F183" s="1099" t="s">
        <v>1504</v>
      </c>
      <c r="G183" s="1100" t="s">
        <v>1471</v>
      </c>
      <c r="H183" s="1101">
        <v>2.8204489863175516E-2</v>
      </c>
      <c r="I183" s="1102">
        <f t="shared" si="6"/>
        <v>3.7779887542573861E-3</v>
      </c>
    </row>
    <row r="184" spans="6:9" ht="15">
      <c r="F184" s="1099" t="s">
        <v>1504</v>
      </c>
      <c r="G184" s="1100" t="s">
        <v>1473</v>
      </c>
      <c r="H184" s="1101">
        <v>2.6294896313421579E-2</v>
      </c>
      <c r="I184" s="1102">
        <f t="shared" si="6"/>
        <v>6.9607886053121484E-3</v>
      </c>
    </row>
    <row r="185" spans="6:9" ht="15">
      <c r="F185" s="1099" t="s">
        <v>1504</v>
      </c>
      <c r="G185" s="1100" t="s">
        <v>1477</v>
      </c>
      <c r="H185" s="1101">
        <v>2.0018988935485409E-2</v>
      </c>
      <c r="I185" s="1102">
        <f t="shared" si="6"/>
        <v>0</v>
      </c>
    </row>
    <row r="186" spans="6:9" ht="15">
      <c r="F186" s="1099" t="s">
        <v>1504</v>
      </c>
      <c r="G186" s="1100" t="s">
        <v>1481</v>
      </c>
      <c r="H186" s="1101">
        <v>3.3483870461505313E-3</v>
      </c>
      <c r="I186" s="1102">
        <f t="shared" si="6"/>
        <v>0</v>
      </c>
    </row>
    <row r="187" spans="6:9" ht="15">
      <c r="F187" s="1099" t="s">
        <v>1505</v>
      </c>
      <c r="G187" s="1100" t="s">
        <v>1457</v>
      </c>
      <c r="H187" s="1101">
        <v>0.86160200270080312</v>
      </c>
      <c r="I187" s="1102">
        <f t="shared" si="6"/>
        <v>0.31032077271676645</v>
      </c>
    </row>
    <row r="188" spans="6:9" ht="15">
      <c r="F188" s="1099" t="s">
        <v>1505</v>
      </c>
      <c r="G188" s="1100" t="s">
        <v>1461</v>
      </c>
      <c r="H188" s="1101">
        <v>8.5392761531718653E-2</v>
      </c>
      <c r="I188" s="1102">
        <f t="shared" si="6"/>
        <v>1.3669187118814843E-2</v>
      </c>
    </row>
    <row r="189" spans="6:9" ht="15">
      <c r="F189" s="1099" t="s">
        <v>1505</v>
      </c>
      <c r="G189" s="1100" t="s">
        <v>1471</v>
      </c>
      <c r="H189" s="1101">
        <v>6.6351309731578082E-3</v>
      </c>
      <c r="I189" s="1102">
        <f t="shared" si="6"/>
        <v>8.8877516740140552E-4</v>
      </c>
    </row>
    <row r="190" spans="6:9" ht="15">
      <c r="F190" s="1099" t="s">
        <v>1505</v>
      </c>
      <c r="G190" s="1100" t="s">
        <v>1473</v>
      </c>
      <c r="H190" s="1101">
        <v>1.5723096605043081E-2</v>
      </c>
      <c r="I190" s="1102">
        <f t="shared" si="6"/>
        <v>4.1622203177406119E-3</v>
      </c>
    </row>
    <row r="191" spans="6:9" ht="15">
      <c r="F191" s="1099" t="s">
        <v>1505</v>
      </c>
      <c r="G191" s="1100" t="s">
        <v>1477</v>
      </c>
      <c r="H191" s="1101">
        <v>2.8776978417266192E-2</v>
      </c>
      <c r="I191" s="1102">
        <f t="shared" si="6"/>
        <v>0</v>
      </c>
    </row>
    <row r="192" spans="6:9" ht="15">
      <c r="F192" s="1099" t="s">
        <v>1505</v>
      </c>
      <c r="G192" s="1100" t="s">
        <v>1481</v>
      </c>
      <c r="H192" s="1101">
        <v>1.8700297720111508E-3</v>
      </c>
      <c r="I192" s="1102">
        <f t="shared" si="6"/>
        <v>0</v>
      </c>
    </row>
    <row r="193" spans="6:9" ht="15">
      <c r="F193" s="1099" t="s">
        <v>1506</v>
      </c>
      <c r="G193" s="1100" t="s">
        <v>1457</v>
      </c>
      <c r="H193" s="1101">
        <v>0.73135348023550673</v>
      </c>
      <c r="I193" s="1102">
        <f t="shared" si="6"/>
        <v>0.2634095283023502</v>
      </c>
    </row>
    <row r="194" spans="6:9" ht="15">
      <c r="F194" s="1099" t="s">
        <v>1506</v>
      </c>
      <c r="G194" s="1100" t="s">
        <v>1461</v>
      </c>
      <c r="H194" s="1101">
        <v>9.5813949431910267E-2</v>
      </c>
      <c r="I194" s="1102">
        <f t="shared" si="6"/>
        <v>1.5337351549299227E-2</v>
      </c>
    </row>
    <row r="195" spans="6:9" ht="15">
      <c r="F195" s="1099" t="s">
        <v>1506</v>
      </c>
      <c r="G195" s="1100" t="s">
        <v>1471</v>
      </c>
      <c r="H195" s="1101">
        <v>0.11252680314193025</v>
      </c>
      <c r="I195" s="1102">
        <f t="shared" si="6"/>
        <v>1.5072954656691059E-2</v>
      </c>
    </row>
    <row r="196" spans="6:9" ht="15">
      <c r="F196" s="1099" t="s">
        <v>1506</v>
      </c>
      <c r="G196" s="1100" t="s">
        <v>1473</v>
      </c>
      <c r="H196" s="1101">
        <v>2.7198148351378137E-2</v>
      </c>
      <c r="I196" s="1102">
        <f t="shared" si="6"/>
        <v>7.1998976102913299E-3</v>
      </c>
    </row>
    <row r="197" spans="6:9" ht="15">
      <c r="F197" s="1099" t="s">
        <v>1506</v>
      </c>
      <c r="G197" s="1100" t="s">
        <v>1477</v>
      </c>
      <c r="H197" s="1101">
        <v>2.9360327013472857E-2</v>
      </c>
      <c r="I197" s="1102">
        <f t="shared" si="6"/>
        <v>0</v>
      </c>
    </row>
    <row r="198" spans="6:9" ht="15">
      <c r="F198" s="1099" t="s">
        <v>1506</v>
      </c>
      <c r="G198" s="1100" t="s">
        <v>1481</v>
      </c>
      <c r="H198" s="1101">
        <v>3.7472918258018052E-3</v>
      </c>
      <c r="I198" s="1102">
        <f t="shared" si="6"/>
        <v>0</v>
      </c>
    </row>
    <row r="199" spans="6:9" ht="15">
      <c r="F199" s="1099" t="s">
        <v>1507</v>
      </c>
      <c r="G199" s="1100" t="s">
        <v>1457</v>
      </c>
      <c r="H199" s="1101">
        <v>0.82211125128492668</v>
      </c>
      <c r="I199" s="1102">
        <f t="shared" ref="I199:I262" si="7">H199*VLOOKUP($G199,$B$3:$C$8,2,FALSE)</f>
        <v>0.29609749972514587</v>
      </c>
    </row>
    <row r="200" spans="6:9" ht="15">
      <c r="F200" s="1099" t="s">
        <v>1507</v>
      </c>
      <c r="G200" s="1100" t="s">
        <v>1461</v>
      </c>
      <c r="H200" s="1101">
        <v>0.12622068031025138</v>
      </c>
      <c r="I200" s="1102">
        <f t="shared" si="7"/>
        <v>2.0204687920580586E-2</v>
      </c>
    </row>
    <row r="201" spans="6:9" ht="15">
      <c r="F201" s="1099" t="s">
        <v>1507</v>
      </c>
      <c r="G201" s="1100" t="s">
        <v>1471</v>
      </c>
      <c r="H201" s="1101">
        <v>5.1899355200448558E-3</v>
      </c>
      <c r="I201" s="1102">
        <f t="shared" si="7"/>
        <v>6.9519137290444263E-4</v>
      </c>
    </row>
    <row r="202" spans="6:9" ht="15">
      <c r="F202" s="1099" t="s">
        <v>1507</v>
      </c>
      <c r="G202" s="1100" t="s">
        <v>1473</v>
      </c>
      <c r="H202" s="1101">
        <v>1.9651200822353051E-2</v>
      </c>
      <c r="I202" s="1102">
        <f t="shared" si="7"/>
        <v>5.2020686118893671E-3</v>
      </c>
    </row>
    <row r="203" spans="6:9" ht="15">
      <c r="F203" s="1099" t="s">
        <v>1507</v>
      </c>
      <c r="G203" s="1100" t="s">
        <v>1477</v>
      </c>
      <c r="H203" s="1101">
        <v>2.1809877581534437E-2</v>
      </c>
      <c r="I203" s="1102">
        <f t="shared" si="7"/>
        <v>0</v>
      </c>
    </row>
    <row r="204" spans="6:9" ht="15">
      <c r="F204" s="1099" t="s">
        <v>1507</v>
      </c>
      <c r="G204" s="1100" t="s">
        <v>1481</v>
      </c>
      <c r="H204" s="1101">
        <v>5.0170544808896362E-3</v>
      </c>
      <c r="I204" s="1102">
        <f t="shared" si="7"/>
        <v>0</v>
      </c>
    </row>
    <row r="205" spans="6:9" ht="15">
      <c r="F205" s="1099" t="s">
        <v>1508</v>
      </c>
      <c r="G205" s="1100" t="s">
        <v>1457</v>
      </c>
      <c r="H205" s="1101">
        <v>0.55183337560747592</v>
      </c>
      <c r="I205" s="1102">
        <f t="shared" si="7"/>
        <v>0.19875227656461192</v>
      </c>
    </row>
    <row r="206" spans="6:9" ht="15">
      <c r="F206" s="1099" t="s">
        <v>1508</v>
      </c>
      <c r="G206" s="1100" t="s">
        <v>1461</v>
      </c>
      <c r="H206" s="1101">
        <v>7.561367765948529E-2</v>
      </c>
      <c r="I206" s="1102">
        <f t="shared" si="7"/>
        <v>1.2103807045581229E-2</v>
      </c>
    </row>
    <row r="207" spans="6:9" ht="15">
      <c r="F207" s="1099" t="s">
        <v>1508</v>
      </c>
      <c r="G207" s="1100" t="s">
        <v>1471</v>
      </c>
      <c r="H207" s="1101">
        <v>0.27424949760175771</v>
      </c>
      <c r="I207" s="1102">
        <f t="shared" si="7"/>
        <v>3.6735694310605187E-2</v>
      </c>
    </row>
    <row r="208" spans="6:9" ht="15">
      <c r="F208" s="1099" t="s">
        <v>1508</v>
      </c>
      <c r="G208" s="1100" t="s">
        <v>1473</v>
      </c>
      <c r="H208" s="1101">
        <v>2.2777758607175506E-2</v>
      </c>
      <c r="I208" s="1102">
        <f t="shared" si="7"/>
        <v>6.0297314230689496E-3</v>
      </c>
    </row>
    <row r="209" spans="6:9" ht="15">
      <c r="F209" s="1099" t="s">
        <v>1508</v>
      </c>
      <c r="G209" s="1100" t="s">
        <v>1477</v>
      </c>
      <c r="H209" s="1101">
        <v>6.5281711209857513E-2</v>
      </c>
      <c r="I209" s="1102">
        <f t="shared" si="7"/>
        <v>0</v>
      </c>
    </row>
    <row r="210" spans="6:9" ht="15">
      <c r="F210" s="1099" t="s">
        <v>1508</v>
      </c>
      <c r="G210" s="1100" t="s">
        <v>1481</v>
      </c>
      <c r="H210" s="1101">
        <v>1.024397931424819E-2</v>
      </c>
      <c r="I210" s="1102">
        <f t="shared" si="7"/>
        <v>0</v>
      </c>
    </row>
    <row r="211" spans="6:9" ht="15">
      <c r="F211" s="1099" t="s">
        <v>1509</v>
      </c>
      <c r="G211" s="1100" t="s">
        <v>1457</v>
      </c>
      <c r="H211" s="1101">
        <v>0.84630496074319017</v>
      </c>
      <c r="I211" s="1102">
        <f t="shared" si="7"/>
        <v>0.30481128009060354</v>
      </c>
    </row>
    <row r="212" spans="6:9" ht="15">
      <c r="F212" s="1099" t="s">
        <v>1509</v>
      </c>
      <c r="G212" s="1100" t="s">
        <v>1461</v>
      </c>
      <c r="H212" s="1101">
        <v>0.10720717471908063</v>
      </c>
      <c r="I212" s="1102">
        <f t="shared" si="7"/>
        <v>1.7161114190811851E-2</v>
      </c>
    </row>
    <row r="213" spans="6:9" ht="15">
      <c r="F213" s="1099" t="s">
        <v>1509</v>
      </c>
      <c r="G213" s="1100" t="s">
        <v>1471</v>
      </c>
      <c r="H213" s="1101">
        <v>9.5480266488058036E-3</v>
      </c>
      <c r="I213" s="1102">
        <f t="shared" si="7"/>
        <v>1.2789572681346419E-3</v>
      </c>
    </row>
    <row r="214" spans="6:9" ht="15">
      <c r="F214" s="1099" t="s">
        <v>1509</v>
      </c>
      <c r="G214" s="1100" t="s">
        <v>1473</v>
      </c>
      <c r="H214" s="1101">
        <v>1.5652589216724067E-2</v>
      </c>
      <c r="I214" s="1102">
        <f t="shared" si="7"/>
        <v>4.1435555921090148E-3</v>
      </c>
    </row>
    <row r="215" spans="6:9" ht="15">
      <c r="F215" s="1099" t="s">
        <v>1509</v>
      </c>
      <c r="G215" s="1100" t="s">
        <v>1477</v>
      </c>
      <c r="H215" s="1101">
        <v>1.9052075467715215E-2</v>
      </c>
      <c r="I215" s="1102">
        <f t="shared" si="7"/>
        <v>0</v>
      </c>
    </row>
    <row r="216" spans="6:9" ht="15">
      <c r="F216" s="1099" t="s">
        <v>1509</v>
      </c>
      <c r="G216" s="1100" t="s">
        <v>1481</v>
      </c>
      <c r="H216" s="1101">
        <v>2.2351732044841558E-3</v>
      </c>
      <c r="I216" s="1102">
        <f t="shared" si="7"/>
        <v>0</v>
      </c>
    </row>
    <row r="217" spans="6:9" ht="15">
      <c r="F217" s="1099" t="s">
        <v>1510</v>
      </c>
      <c r="G217" s="1100" t="s">
        <v>1457</v>
      </c>
      <c r="H217" s="1101">
        <v>0.82590495893035498</v>
      </c>
      <c r="I217" s="1102">
        <f t="shared" si="7"/>
        <v>0.2974638687497077</v>
      </c>
    </row>
    <row r="218" spans="6:9" ht="15">
      <c r="F218" s="1099" t="s">
        <v>1510</v>
      </c>
      <c r="G218" s="1100" t="s">
        <v>1461</v>
      </c>
      <c r="H218" s="1101">
        <v>0.10980270264761634</v>
      </c>
      <c r="I218" s="1102">
        <f t="shared" si="7"/>
        <v>1.7576591525083163E-2</v>
      </c>
    </row>
    <row r="219" spans="6:9" ht="15">
      <c r="F219" s="1099" t="s">
        <v>1510</v>
      </c>
      <c r="G219" s="1100" t="s">
        <v>1471</v>
      </c>
      <c r="H219" s="1101">
        <v>5.528606077899843E-3</v>
      </c>
      <c r="I219" s="1102">
        <f t="shared" si="7"/>
        <v>7.4055626215368078E-4</v>
      </c>
    </row>
    <row r="220" spans="6:9" ht="15">
      <c r="F220" s="1099" t="s">
        <v>1510</v>
      </c>
      <c r="G220" s="1100" t="s">
        <v>1473</v>
      </c>
      <c r="H220" s="1101">
        <v>1.5645700425982921E-2</v>
      </c>
      <c r="I220" s="1102">
        <f t="shared" si="7"/>
        <v>4.1417319904669394E-3</v>
      </c>
    </row>
    <row r="221" spans="6:9" ht="15">
      <c r="F221" s="1099" t="s">
        <v>1510</v>
      </c>
      <c r="G221" s="1100" t="s">
        <v>1477</v>
      </c>
      <c r="H221" s="1101">
        <v>4.0279844281841712E-2</v>
      </c>
      <c r="I221" s="1102">
        <f t="shared" si="7"/>
        <v>0</v>
      </c>
    </row>
    <row r="222" spans="6:9" ht="15">
      <c r="F222" s="1099" t="s">
        <v>1510</v>
      </c>
      <c r="G222" s="1100" t="s">
        <v>1481</v>
      </c>
      <c r="H222" s="1101">
        <v>2.8381876363043437E-3</v>
      </c>
      <c r="I222" s="1102">
        <f t="shared" si="7"/>
        <v>0</v>
      </c>
    </row>
    <row r="223" spans="6:9" ht="15">
      <c r="F223" s="1099" t="s">
        <v>1396</v>
      </c>
      <c r="G223" s="1100" t="s">
        <v>1457</v>
      </c>
      <c r="H223" s="1101">
        <v>0.85408427918948449</v>
      </c>
      <c r="I223" s="1102">
        <f t="shared" si="7"/>
        <v>0.30761313536008594</v>
      </c>
    </row>
    <row r="224" spans="6:9" ht="15">
      <c r="F224" s="1099" t="s">
        <v>1396</v>
      </c>
      <c r="G224" s="1100" t="s">
        <v>1461</v>
      </c>
      <c r="H224" s="1101">
        <v>9.1734919793551209E-2</v>
      </c>
      <c r="I224" s="1102">
        <f t="shared" si="7"/>
        <v>1.4684403707002185E-2</v>
      </c>
    </row>
    <row r="225" spans="6:9" ht="15">
      <c r="F225" s="1099" t="s">
        <v>1396</v>
      </c>
      <c r="G225" s="1100" t="s">
        <v>1471</v>
      </c>
      <c r="H225" s="1101">
        <v>1.1022627299728038E-2</v>
      </c>
      <c r="I225" s="1102">
        <f t="shared" si="7"/>
        <v>1.4764798861018789E-3</v>
      </c>
    </row>
    <row r="226" spans="6:9" ht="15">
      <c r="F226" s="1099" t="s">
        <v>1396</v>
      </c>
      <c r="G226" s="1100" t="s">
        <v>1473</v>
      </c>
      <c r="H226" s="1101">
        <v>1.6186997946696008E-2</v>
      </c>
      <c r="I226" s="1102">
        <f t="shared" si="7"/>
        <v>4.2850243453540797E-3</v>
      </c>
    </row>
    <row r="227" spans="6:9" ht="15">
      <c r="F227" s="1099" t="s">
        <v>1396</v>
      </c>
      <c r="G227" s="1100" t="s">
        <v>1477</v>
      </c>
      <c r="H227" s="1101">
        <v>2.2733233516663114E-2</v>
      </c>
      <c r="I227" s="1102">
        <f t="shared" si="7"/>
        <v>0</v>
      </c>
    </row>
    <row r="228" spans="6:9" ht="15">
      <c r="F228" s="1099" t="s">
        <v>1396</v>
      </c>
      <c r="G228" s="1100" t="s">
        <v>1481</v>
      </c>
      <c r="H228" s="1101">
        <v>4.2379422538772167E-3</v>
      </c>
      <c r="I228" s="1102">
        <f t="shared" si="7"/>
        <v>0</v>
      </c>
    </row>
    <row r="229" spans="6:9" ht="15">
      <c r="F229" s="1099" t="s">
        <v>1511</v>
      </c>
      <c r="G229" s="1100" t="s">
        <v>1457</v>
      </c>
      <c r="H229" s="1101">
        <v>0.8431791978556421</v>
      </c>
      <c r="I229" s="1102">
        <f t="shared" si="7"/>
        <v>0.30368548285295466</v>
      </c>
    </row>
    <row r="230" spans="6:9" ht="15">
      <c r="F230" s="1099" t="s">
        <v>1511</v>
      </c>
      <c r="G230" s="1100" t="s">
        <v>1461</v>
      </c>
      <c r="H230" s="1101">
        <v>0.11625942984894684</v>
      </c>
      <c r="I230" s="1102">
        <f t="shared" si="7"/>
        <v>1.8610147656856056E-2</v>
      </c>
    </row>
    <row r="231" spans="6:9" ht="15">
      <c r="F231" s="1099" t="s">
        <v>1511</v>
      </c>
      <c r="G231" s="1100" t="s">
        <v>1471</v>
      </c>
      <c r="H231" s="1101">
        <v>3.1305050126706735E-3</v>
      </c>
      <c r="I231" s="1102">
        <f t="shared" si="7"/>
        <v>4.1933085088193076E-4</v>
      </c>
    </row>
    <row r="232" spans="6:9" ht="15">
      <c r="F232" s="1099" t="s">
        <v>1511</v>
      </c>
      <c r="G232" s="1100" t="s">
        <v>1473</v>
      </c>
      <c r="H232" s="1101">
        <v>1.5649598810770951E-2</v>
      </c>
      <c r="I232" s="1102">
        <f t="shared" si="7"/>
        <v>4.1427639714296405E-3</v>
      </c>
    </row>
    <row r="233" spans="6:9" ht="15">
      <c r="F233" s="1099" t="s">
        <v>1511</v>
      </c>
      <c r="G233" s="1100" t="s">
        <v>1477</v>
      </c>
      <c r="H233" s="1101">
        <v>1.934018856771641E-2</v>
      </c>
      <c r="I233" s="1102">
        <f t="shared" si="7"/>
        <v>0</v>
      </c>
    </row>
    <row r="234" spans="6:9" ht="15">
      <c r="F234" s="1099" t="s">
        <v>1511</v>
      </c>
      <c r="G234" s="1100" t="s">
        <v>1481</v>
      </c>
      <c r="H234" s="1101">
        <v>2.4410799042530159E-3</v>
      </c>
      <c r="I234" s="1102">
        <f t="shared" si="7"/>
        <v>0</v>
      </c>
    </row>
    <row r="235" spans="6:9" ht="15">
      <c r="F235" s="1099" t="s">
        <v>1512</v>
      </c>
      <c r="G235" s="1100" t="s">
        <v>1457</v>
      </c>
      <c r="H235" s="1101">
        <v>0.7865229954180154</v>
      </c>
      <c r="I235" s="1102">
        <f t="shared" si="7"/>
        <v>0.28327977759167383</v>
      </c>
    </row>
    <row r="236" spans="6:9" ht="15">
      <c r="F236" s="1099" t="s">
        <v>1512</v>
      </c>
      <c r="G236" s="1100" t="s">
        <v>1461</v>
      </c>
      <c r="H236" s="1101">
        <v>0.11133207939787913</v>
      </c>
      <c r="I236" s="1102">
        <f t="shared" si="7"/>
        <v>1.7821405448412507E-2</v>
      </c>
    </row>
    <row r="237" spans="6:9" ht="15">
      <c r="F237" s="1099" t="s">
        <v>1512</v>
      </c>
      <c r="G237" s="1100" t="s">
        <v>1471</v>
      </c>
      <c r="H237" s="1101">
        <v>2.9109657524916892E-2</v>
      </c>
      <c r="I237" s="1102">
        <f t="shared" si="7"/>
        <v>3.8992358770866212E-3</v>
      </c>
    </row>
    <row r="238" spans="6:9" ht="15">
      <c r="F238" s="1099" t="s">
        <v>1512</v>
      </c>
      <c r="G238" s="1100" t="s">
        <v>1473</v>
      </c>
      <c r="H238" s="1101">
        <v>1.5929424107440436E-2</v>
      </c>
      <c r="I238" s="1102">
        <f t="shared" si="7"/>
        <v>4.2168393628408945E-3</v>
      </c>
    </row>
    <row r="239" spans="6:9" ht="15">
      <c r="F239" s="1099" t="s">
        <v>1512</v>
      </c>
      <c r="G239" s="1100" t="s">
        <v>1477</v>
      </c>
      <c r="H239" s="1101">
        <v>4.0920222462447142E-2</v>
      </c>
      <c r="I239" s="1102">
        <f t="shared" si="7"/>
        <v>0</v>
      </c>
    </row>
    <row r="240" spans="6:9" ht="15">
      <c r="F240" s="1099" t="s">
        <v>1512</v>
      </c>
      <c r="G240" s="1100" t="s">
        <v>1481</v>
      </c>
      <c r="H240" s="1101">
        <v>1.6185621089300876E-2</v>
      </c>
      <c r="I240" s="1102">
        <f t="shared" si="7"/>
        <v>0</v>
      </c>
    </row>
    <row r="241" spans="6:9" ht="15">
      <c r="F241" s="1099" t="s">
        <v>1513</v>
      </c>
      <c r="G241" s="1100" t="s">
        <v>1457</v>
      </c>
      <c r="H241" s="1101">
        <v>0.79466265523840585</v>
      </c>
      <c r="I241" s="1102">
        <f t="shared" si="7"/>
        <v>0.28621141600151667</v>
      </c>
    </row>
    <row r="242" spans="6:9" ht="15">
      <c r="F242" s="1099" t="s">
        <v>1513</v>
      </c>
      <c r="G242" s="1100" t="s">
        <v>1461</v>
      </c>
      <c r="H242" s="1101">
        <v>9.4659223201008627E-2</v>
      </c>
      <c r="I242" s="1102">
        <f t="shared" si="7"/>
        <v>1.5152509548196648E-2</v>
      </c>
    </row>
    <row r="243" spans="6:9" ht="15">
      <c r="F243" s="1099" t="s">
        <v>1513</v>
      </c>
      <c r="G243" s="1100" t="s">
        <v>1471</v>
      </c>
      <c r="H243" s="1101">
        <v>4.8422779067767846E-2</v>
      </c>
      <c r="I243" s="1102">
        <f t="shared" si="7"/>
        <v>6.4862266843113093E-3</v>
      </c>
    </row>
    <row r="244" spans="6:9" ht="15">
      <c r="F244" s="1099" t="s">
        <v>1513</v>
      </c>
      <c r="G244" s="1100" t="s">
        <v>1473</v>
      </c>
      <c r="H244" s="1101">
        <v>1.7869656304153329E-2</v>
      </c>
      <c r="I244" s="1102">
        <f t="shared" si="7"/>
        <v>4.7304578995165944E-3</v>
      </c>
    </row>
    <row r="245" spans="6:9" ht="15">
      <c r="F245" s="1099" t="s">
        <v>1513</v>
      </c>
      <c r="G245" s="1100" t="s">
        <v>1477</v>
      </c>
      <c r="H245" s="1101">
        <v>3.8986310528927808E-2</v>
      </c>
      <c r="I245" s="1102">
        <f t="shared" si="7"/>
        <v>0</v>
      </c>
    </row>
    <row r="246" spans="6:9" ht="15">
      <c r="F246" s="1099" t="s">
        <v>1513</v>
      </c>
      <c r="G246" s="1100" t="s">
        <v>1481</v>
      </c>
      <c r="H246" s="1101">
        <v>5.3993756597365532E-3</v>
      </c>
      <c r="I246" s="1102">
        <f t="shared" si="7"/>
        <v>0</v>
      </c>
    </row>
    <row r="247" spans="6:9" ht="15">
      <c r="F247" s="1099" t="s">
        <v>1514</v>
      </c>
      <c r="G247" s="1100" t="s">
        <v>1457</v>
      </c>
      <c r="H247" s="1101">
        <v>0.80650364255948526</v>
      </c>
      <c r="I247" s="1102">
        <f t="shared" si="7"/>
        <v>0.29047615113872455</v>
      </c>
    </row>
    <row r="248" spans="6:9" ht="15">
      <c r="F248" s="1099" t="s">
        <v>1514</v>
      </c>
      <c r="G248" s="1100" t="s">
        <v>1461</v>
      </c>
      <c r="H248" s="1101">
        <v>9.7794477699941054E-2</v>
      </c>
      <c r="I248" s="1102">
        <f t="shared" si="7"/>
        <v>1.5654383239154572E-2</v>
      </c>
    </row>
    <row r="249" spans="6:9" ht="15">
      <c r="F249" s="1099" t="s">
        <v>1514</v>
      </c>
      <c r="G249" s="1100" t="s">
        <v>1471</v>
      </c>
      <c r="H249" s="1101">
        <v>2.4099853098424062E-2</v>
      </c>
      <c r="I249" s="1102">
        <f t="shared" si="7"/>
        <v>3.2281730471564714E-3</v>
      </c>
    </row>
    <row r="250" spans="6:9" ht="15">
      <c r="F250" s="1099" t="s">
        <v>1514</v>
      </c>
      <c r="G250" s="1100" t="s">
        <v>1473</v>
      </c>
      <c r="H250" s="1101">
        <v>2.5604844754014814E-2</v>
      </c>
      <c r="I250" s="1102">
        <f t="shared" si="7"/>
        <v>6.778118060635204E-3</v>
      </c>
    </row>
    <row r="251" spans="6:9" ht="15">
      <c r="F251" s="1099" t="s">
        <v>1514</v>
      </c>
      <c r="G251" s="1100" t="s">
        <v>1477</v>
      </c>
      <c r="H251" s="1101">
        <v>3.8016528925619839E-2</v>
      </c>
      <c r="I251" s="1102">
        <f t="shared" si="7"/>
        <v>0</v>
      </c>
    </row>
    <row r="252" spans="6:9" ht="15">
      <c r="F252" s="1099" t="s">
        <v>1514</v>
      </c>
      <c r="G252" s="1100" t="s">
        <v>1481</v>
      </c>
      <c r="H252" s="1101">
        <v>7.9806529625151158E-3</v>
      </c>
      <c r="I252" s="1102">
        <f t="shared" si="7"/>
        <v>0</v>
      </c>
    </row>
    <row r="253" spans="6:9" ht="15">
      <c r="F253" s="1099" t="s">
        <v>1515</v>
      </c>
      <c r="G253" s="1100" t="s">
        <v>1457</v>
      </c>
      <c r="H253" s="1101">
        <v>0.85421161229428499</v>
      </c>
      <c r="I253" s="1102">
        <f t="shared" si="7"/>
        <v>0.30765899656671064</v>
      </c>
    </row>
    <row r="254" spans="6:9" ht="15">
      <c r="F254" s="1099" t="s">
        <v>1515</v>
      </c>
      <c r="G254" s="1100" t="s">
        <v>1461</v>
      </c>
      <c r="H254" s="1101">
        <v>0.10227111439135342</v>
      </c>
      <c r="I254" s="1102">
        <f t="shared" si="7"/>
        <v>1.6370977754898604E-2</v>
      </c>
    </row>
    <row r="255" spans="6:9" ht="15">
      <c r="F255" s="1099" t="s">
        <v>1515</v>
      </c>
      <c r="G255" s="1100" t="s">
        <v>1471</v>
      </c>
      <c r="H255" s="1101">
        <v>3.7350703635628162E-3</v>
      </c>
      <c r="I255" s="1102">
        <f t="shared" si="7"/>
        <v>5.0031232255415151E-4</v>
      </c>
    </row>
    <row r="256" spans="6:9" ht="15">
      <c r="F256" s="1099" t="s">
        <v>1515</v>
      </c>
      <c r="G256" s="1100" t="s">
        <v>1473</v>
      </c>
      <c r="H256" s="1101">
        <v>1.9384576079936981E-2</v>
      </c>
      <c r="I256" s="1102">
        <f t="shared" si="7"/>
        <v>5.1314876730340674E-3</v>
      </c>
    </row>
    <row r="257" spans="6:9" ht="15">
      <c r="F257" s="1099" t="s">
        <v>1515</v>
      </c>
      <c r="G257" s="1100" t="s">
        <v>1477</v>
      </c>
      <c r="H257" s="1101">
        <v>1.7700889213759039E-2</v>
      </c>
      <c r="I257" s="1102">
        <f t="shared" si="7"/>
        <v>0</v>
      </c>
    </row>
    <row r="258" spans="6:9" ht="15">
      <c r="F258" s="1099" t="s">
        <v>1515</v>
      </c>
      <c r="G258" s="1100" t="s">
        <v>1481</v>
      </c>
      <c r="H258" s="1101">
        <v>2.6967376571027102E-3</v>
      </c>
      <c r="I258" s="1102">
        <f t="shared" si="7"/>
        <v>0</v>
      </c>
    </row>
    <row r="259" spans="6:9" ht="15">
      <c r="F259" s="1099" t="s">
        <v>1516</v>
      </c>
      <c r="G259" s="1100" t="s">
        <v>1457</v>
      </c>
      <c r="H259" s="1101">
        <v>0.84908923903705191</v>
      </c>
      <c r="I259" s="1102">
        <f t="shared" si="7"/>
        <v>0.3058140857815157</v>
      </c>
    </row>
    <row r="260" spans="6:9" ht="15">
      <c r="F260" s="1099" t="s">
        <v>1516</v>
      </c>
      <c r="G260" s="1100" t="s">
        <v>1461</v>
      </c>
      <c r="H260" s="1101">
        <v>0.10223326082585409</v>
      </c>
      <c r="I260" s="1102">
        <f t="shared" si="7"/>
        <v>1.6364918371636564E-2</v>
      </c>
    </row>
    <row r="261" spans="6:9" ht="15">
      <c r="F261" s="1099" t="s">
        <v>1516</v>
      </c>
      <c r="G261" s="1100" t="s">
        <v>1471</v>
      </c>
      <c r="H261" s="1101">
        <v>2.4151388304970113E-3</v>
      </c>
      <c r="I261" s="1102">
        <f t="shared" si="7"/>
        <v>3.2350761832076406E-4</v>
      </c>
    </row>
    <row r="262" spans="6:9" ht="15">
      <c r="F262" s="1099" t="s">
        <v>1516</v>
      </c>
      <c r="G262" s="1100" t="s">
        <v>1473</v>
      </c>
      <c r="H262" s="1101">
        <v>1.0624782934542198E-2</v>
      </c>
      <c r="I262" s="1102">
        <f t="shared" si="7"/>
        <v>2.8125940145626986E-3</v>
      </c>
    </row>
    <row r="263" spans="6:9" ht="15">
      <c r="F263" s="1099" t="s">
        <v>1516</v>
      </c>
      <c r="G263" s="1100" t="s">
        <v>1477</v>
      </c>
      <c r="H263" s="1101">
        <v>3.2399875701464166E-2</v>
      </c>
      <c r="I263" s="1102">
        <f t="shared" ref="I263:I324" si="8">H263*VLOOKUP($G263,$B$3:$C$8,2,FALSE)</f>
        <v>0</v>
      </c>
    </row>
    <row r="264" spans="6:9" ht="15">
      <c r="F264" s="1099" t="s">
        <v>1516</v>
      </c>
      <c r="G264" s="1100" t="s">
        <v>1481</v>
      </c>
      <c r="H264" s="1101">
        <v>3.2377026705906011E-3</v>
      </c>
      <c r="I264" s="1102">
        <f t="shared" si="8"/>
        <v>0</v>
      </c>
    </row>
    <row r="265" spans="6:9" ht="15">
      <c r="F265" s="1099" t="s">
        <v>1517</v>
      </c>
      <c r="G265" s="1100" t="s">
        <v>1457</v>
      </c>
      <c r="H265" s="1101">
        <v>0.85877962453783008</v>
      </c>
      <c r="I265" s="1102">
        <f t="shared" si="8"/>
        <v>0.30930424470303469</v>
      </c>
    </row>
    <row r="266" spans="6:9" ht="15">
      <c r="F266" s="1099" t="s">
        <v>1517</v>
      </c>
      <c r="G266" s="1100" t="s">
        <v>1461</v>
      </c>
      <c r="H266" s="1101">
        <v>0.10646453776424109</v>
      </c>
      <c r="I266" s="1102">
        <f t="shared" si="8"/>
        <v>1.7042237094967164E-2</v>
      </c>
    </row>
    <row r="267" spans="6:9" ht="15">
      <c r="F267" s="1099" t="s">
        <v>1517</v>
      </c>
      <c r="G267" s="1100" t="s">
        <v>1471</v>
      </c>
      <c r="H267" s="1101">
        <v>5.1766324245430964E-3</v>
      </c>
      <c r="I267" s="1102">
        <f t="shared" si="8"/>
        <v>6.9340942451798812E-4</v>
      </c>
    </row>
    <row r="268" spans="6:9" ht="15">
      <c r="F268" s="1099" t="s">
        <v>1517</v>
      </c>
      <c r="G268" s="1100" t="s">
        <v>1473</v>
      </c>
      <c r="H268" s="1101">
        <v>1.460152600410379E-2</v>
      </c>
      <c r="I268" s="1102">
        <f t="shared" si="8"/>
        <v>3.865317992437035E-3</v>
      </c>
    </row>
    <row r="269" spans="6:9" ht="15">
      <c r="F269" s="1099" t="s">
        <v>1517</v>
      </c>
      <c r="G269" s="1100" t="s">
        <v>1477</v>
      </c>
      <c r="H269" s="1101">
        <v>1.3777806299168548E-2</v>
      </c>
      <c r="I269" s="1102">
        <f t="shared" si="8"/>
        <v>0</v>
      </c>
    </row>
    <row r="270" spans="6:9" ht="15">
      <c r="F270" s="1099" t="s">
        <v>1517</v>
      </c>
      <c r="G270" s="1100" t="s">
        <v>1481</v>
      </c>
      <c r="H270" s="1101">
        <v>1.1998729701134219E-3</v>
      </c>
      <c r="I270" s="1102">
        <f t="shared" si="8"/>
        <v>0</v>
      </c>
    </row>
    <row r="271" spans="6:9" ht="15">
      <c r="F271" s="1099" t="s">
        <v>1518</v>
      </c>
      <c r="G271" s="1100" t="s">
        <v>1457</v>
      </c>
      <c r="H271" s="1101">
        <v>0.82435703759772661</v>
      </c>
      <c r="I271" s="1102">
        <f t="shared" si="8"/>
        <v>0.29690635827208545</v>
      </c>
    </row>
    <row r="272" spans="6:9" ht="15">
      <c r="F272" s="1099" t="s">
        <v>1518</v>
      </c>
      <c r="G272" s="1100" t="s">
        <v>1461</v>
      </c>
      <c r="H272" s="1101">
        <v>0.12395715157761493</v>
      </c>
      <c r="I272" s="1102">
        <f t="shared" si="8"/>
        <v>1.9842355127493331E-2</v>
      </c>
    </row>
    <row r="273" spans="6:9" ht="15">
      <c r="F273" s="1099" t="s">
        <v>1518</v>
      </c>
      <c r="G273" s="1100" t="s">
        <v>1471</v>
      </c>
      <c r="H273" s="1101">
        <v>1.1259309255765069E-2</v>
      </c>
      <c r="I273" s="1102">
        <f t="shared" si="8"/>
        <v>1.5081834117668125E-3</v>
      </c>
    </row>
    <row r="274" spans="6:9" ht="15">
      <c r="F274" s="1099" t="s">
        <v>1518</v>
      </c>
      <c r="G274" s="1100" t="s">
        <v>1473</v>
      </c>
      <c r="H274" s="1101">
        <v>1.9833456983598462E-2</v>
      </c>
      <c r="I274" s="1102">
        <f t="shared" si="8"/>
        <v>5.2503154882156088E-3</v>
      </c>
    </row>
    <row r="275" spans="6:9" ht="15">
      <c r="F275" s="1099" t="s">
        <v>1518</v>
      </c>
      <c r="G275" s="1100" t="s">
        <v>1477</v>
      </c>
      <c r="H275" s="1101">
        <v>1.8164519979651222E-2</v>
      </c>
      <c r="I275" s="1102">
        <f t="shared" si="8"/>
        <v>0</v>
      </c>
    </row>
    <row r="276" spans="6:9" ht="15">
      <c r="F276" s="1099" t="s">
        <v>1518</v>
      </c>
      <c r="G276" s="1100" t="s">
        <v>1481</v>
      </c>
      <c r="H276" s="1101">
        <v>2.4285246056437045E-3</v>
      </c>
      <c r="I276" s="1102">
        <f t="shared" si="8"/>
        <v>0</v>
      </c>
    </row>
    <row r="277" spans="6:9" ht="15">
      <c r="F277" s="1099" t="s">
        <v>1519</v>
      </c>
      <c r="G277" s="1100" t="s">
        <v>1457</v>
      </c>
      <c r="H277" s="1101">
        <v>0.80287351126200801</v>
      </c>
      <c r="I277" s="1102">
        <f t="shared" si="8"/>
        <v>0.28916869694785075</v>
      </c>
    </row>
    <row r="278" spans="6:9" ht="15">
      <c r="F278" s="1099" t="s">
        <v>1519</v>
      </c>
      <c r="G278" s="1100" t="s">
        <v>1461</v>
      </c>
      <c r="H278" s="1101">
        <v>0.12804569760161255</v>
      </c>
      <c r="I278" s="1102">
        <f t="shared" si="8"/>
        <v>2.0496826298625922E-2</v>
      </c>
    </row>
    <row r="279" spans="6:9" ht="15">
      <c r="F279" s="1099" t="s">
        <v>1519</v>
      </c>
      <c r="G279" s="1100" t="s">
        <v>1471</v>
      </c>
      <c r="H279" s="1101">
        <v>2.2189855319946831E-2</v>
      </c>
      <c r="I279" s="1102">
        <f t="shared" si="8"/>
        <v>2.9723290250610783E-3</v>
      </c>
    </row>
    <row r="280" spans="6:9" ht="15">
      <c r="F280" s="1099" t="s">
        <v>1519</v>
      </c>
      <c r="G280" s="1100" t="s">
        <v>1473</v>
      </c>
      <c r="H280" s="1101">
        <v>1.3661064960372869E-2</v>
      </c>
      <c r="I280" s="1102">
        <f t="shared" si="8"/>
        <v>3.6163590142797128E-3</v>
      </c>
    </row>
    <row r="281" spans="6:9" ht="15">
      <c r="F281" s="1099" t="s">
        <v>1519</v>
      </c>
      <c r="G281" s="1100" t="s">
        <v>1477</v>
      </c>
      <c r="H281" s="1101">
        <v>2.6055802771722938E-2</v>
      </c>
      <c r="I281" s="1102">
        <f t="shared" si="8"/>
        <v>0</v>
      </c>
    </row>
    <row r="282" spans="6:9" ht="15">
      <c r="F282" s="1099" t="s">
        <v>1519</v>
      </c>
      <c r="G282" s="1100" t="s">
        <v>1481</v>
      </c>
      <c r="H282" s="1101">
        <v>7.1740680843369866E-3</v>
      </c>
      <c r="I282" s="1102">
        <f t="shared" si="8"/>
        <v>0</v>
      </c>
    </row>
    <row r="283" spans="6:9" ht="15">
      <c r="F283" s="1099" t="s">
        <v>1520</v>
      </c>
      <c r="G283" s="1100" t="s">
        <v>1457</v>
      </c>
      <c r="H283" s="1101">
        <v>0.80853435263864049</v>
      </c>
      <c r="I283" s="1102">
        <f t="shared" si="8"/>
        <v>0.29120754628283035</v>
      </c>
    </row>
    <row r="284" spans="6:9" ht="15">
      <c r="F284" s="1099" t="s">
        <v>1520</v>
      </c>
      <c r="G284" s="1100" t="s">
        <v>1461</v>
      </c>
      <c r="H284" s="1101">
        <v>9.6028063506261183E-2</v>
      </c>
      <c r="I284" s="1102">
        <f t="shared" si="8"/>
        <v>1.5371625711354373E-2</v>
      </c>
    </row>
    <row r="285" spans="6:9" ht="15">
      <c r="F285" s="1099" t="s">
        <v>1520</v>
      </c>
      <c r="G285" s="1100" t="s">
        <v>1471</v>
      </c>
      <c r="H285" s="1101">
        <v>1.6991139311270123E-2</v>
      </c>
      <c r="I285" s="1102">
        <f t="shared" si="8"/>
        <v>2.2759615065334055E-3</v>
      </c>
    </row>
    <row r="286" spans="6:9" ht="15">
      <c r="F286" s="1099" t="s">
        <v>1520</v>
      </c>
      <c r="G286" s="1100" t="s">
        <v>1473</v>
      </c>
      <c r="H286" s="1101">
        <v>9.6887578264758488E-3</v>
      </c>
      <c r="I286" s="1102">
        <f t="shared" si="8"/>
        <v>2.5648093179107992E-3</v>
      </c>
    </row>
    <row r="287" spans="6:9" ht="15">
      <c r="F287" s="1099" t="s">
        <v>1520</v>
      </c>
      <c r="G287" s="1100" t="s">
        <v>1477</v>
      </c>
      <c r="H287" s="1101">
        <v>6.2789998881932027E-2</v>
      </c>
      <c r="I287" s="1102">
        <f t="shared" si="8"/>
        <v>0</v>
      </c>
    </row>
    <row r="288" spans="6:9" ht="15">
      <c r="F288" s="1099" t="s">
        <v>1520</v>
      </c>
      <c r="G288" s="1100" t="s">
        <v>1481</v>
      </c>
      <c r="H288" s="1101">
        <v>5.9676878354203945E-3</v>
      </c>
      <c r="I288" s="1102">
        <f t="shared" si="8"/>
        <v>0</v>
      </c>
    </row>
    <row r="289" spans="6:9" ht="15">
      <c r="F289" s="1099" t="s">
        <v>1521</v>
      </c>
      <c r="G289" s="1100" t="s">
        <v>1457</v>
      </c>
      <c r="H289" s="1101">
        <v>0.81466562198031489</v>
      </c>
      <c r="I289" s="1102">
        <f t="shared" si="8"/>
        <v>0.2934158283363526</v>
      </c>
    </row>
    <row r="290" spans="6:9" ht="15">
      <c r="F290" s="1099" t="s">
        <v>1521</v>
      </c>
      <c r="G290" s="1100" t="s">
        <v>1461</v>
      </c>
      <c r="H290" s="1101">
        <v>0.10365136051513156</v>
      </c>
      <c r="I290" s="1102">
        <f t="shared" si="8"/>
        <v>1.6591919696551754E-2</v>
      </c>
    </row>
    <row r="291" spans="6:9" ht="15">
      <c r="F291" s="1099" t="s">
        <v>1521</v>
      </c>
      <c r="G291" s="1100" t="s">
        <v>1471</v>
      </c>
      <c r="H291" s="1101">
        <v>3.5164367073994576E-2</v>
      </c>
      <c r="I291" s="1102">
        <f t="shared" si="8"/>
        <v>4.7102636495327376E-3</v>
      </c>
    </row>
    <row r="292" spans="6:9" ht="15">
      <c r="F292" s="1099" t="s">
        <v>1521</v>
      </c>
      <c r="G292" s="1100" t="s">
        <v>1473</v>
      </c>
      <c r="H292" s="1101">
        <v>1.7360784498165742E-2</v>
      </c>
      <c r="I292" s="1102">
        <f t="shared" si="8"/>
        <v>4.5957492843365835E-3</v>
      </c>
    </row>
    <row r="293" spans="6:9" ht="15">
      <c r="F293" s="1099" t="s">
        <v>1521</v>
      </c>
      <c r="G293" s="1100" t="s">
        <v>1477</v>
      </c>
      <c r="H293" s="1101">
        <v>2.5345580249869593E-2</v>
      </c>
      <c r="I293" s="1102">
        <f t="shared" si="8"/>
        <v>0</v>
      </c>
    </row>
    <row r="294" spans="6:9" ht="15">
      <c r="F294" s="1099" t="s">
        <v>1521</v>
      </c>
      <c r="G294" s="1100" t="s">
        <v>1481</v>
      </c>
      <c r="H294" s="1101">
        <v>3.8122856825236655E-3</v>
      </c>
      <c r="I294" s="1102">
        <f t="shared" si="8"/>
        <v>0</v>
      </c>
    </row>
    <row r="295" spans="6:9" ht="15">
      <c r="F295" s="1099" t="s">
        <v>1522</v>
      </c>
      <c r="G295" s="1100" t="s">
        <v>1457</v>
      </c>
      <c r="H295" s="1101">
        <v>0.77871390541967389</v>
      </c>
      <c r="I295" s="1102">
        <f t="shared" si="8"/>
        <v>0.28046719958593119</v>
      </c>
    </row>
    <row r="296" spans="6:9" ht="15">
      <c r="F296" s="1099" t="s">
        <v>1522</v>
      </c>
      <c r="G296" s="1100" t="s">
        <v>1461</v>
      </c>
      <c r="H296" s="1101">
        <v>0.10893708851121328</v>
      </c>
      <c r="I296" s="1102">
        <f t="shared" si="8"/>
        <v>1.7438028942131801E-2</v>
      </c>
    </row>
    <row r="297" spans="6:9" ht="15">
      <c r="F297" s="1099" t="s">
        <v>1522</v>
      </c>
      <c r="G297" s="1100" t="s">
        <v>1471</v>
      </c>
      <c r="H297" s="1101">
        <v>5.0304489914370476E-2</v>
      </c>
      <c r="I297" s="1102">
        <f t="shared" si="8"/>
        <v>6.7382816745527986E-3</v>
      </c>
    </row>
    <row r="298" spans="6:9" ht="15">
      <c r="F298" s="1099" t="s">
        <v>1522</v>
      </c>
      <c r="G298" s="1100" t="s">
        <v>1473</v>
      </c>
      <c r="H298" s="1101">
        <v>1.347214629874173E-2</v>
      </c>
      <c r="I298" s="1102">
        <f t="shared" si="8"/>
        <v>3.5663484399257222E-3</v>
      </c>
    </row>
    <row r="299" spans="6:9" ht="15">
      <c r="F299" s="1099" t="s">
        <v>1522</v>
      </c>
      <c r="G299" s="1100" t="s">
        <v>1477</v>
      </c>
      <c r="H299" s="1101">
        <v>3.9446646352128988E-2</v>
      </c>
      <c r="I299" s="1102">
        <f t="shared" si="8"/>
        <v>0</v>
      </c>
    </row>
    <row r="300" spans="6:9" ht="15">
      <c r="F300" s="1099" t="s">
        <v>1522</v>
      </c>
      <c r="G300" s="1100" t="s">
        <v>1481</v>
      </c>
      <c r="H300" s="1101">
        <v>9.1257235038714121E-3</v>
      </c>
      <c r="I300" s="1102">
        <f t="shared" si="8"/>
        <v>0</v>
      </c>
    </row>
    <row r="301" spans="6:9" ht="15">
      <c r="F301" s="1099" t="s">
        <v>1523</v>
      </c>
      <c r="G301" s="1100" t="s">
        <v>1457</v>
      </c>
      <c r="H301" s="1101">
        <v>0.85062760720871089</v>
      </c>
      <c r="I301" s="1102">
        <f t="shared" si="8"/>
        <v>0.30636815552399038</v>
      </c>
    </row>
    <row r="302" spans="6:9" ht="15">
      <c r="F302" s="1099" t="s">
        <v>1523</v>
      </c>
      <c r="G302" s="1100" t="s">
        <v>1461</v>
      </c>
      <c r="H302" s="1101">
        <v>9.9286550737779602E-2</v>
      </c>
      <c r="I302" s="1102">
        <f t="shared" si="8"/>
        <v>1.5893225796571781E-2</v>
      </c>
    </row>
    <row r="303" spans="6:9" ht="15">
      <c r="F303" s="1099" t="s">
        <v>1523</v>
      </c>
      <c r="G303" s="1100" t="s">
        <v>1471</v>
      </c>
      <c r="H303" s="1101">
        <v>6.2190365763676609E-3</v>
      </c>
      <c r="I303" s="1102">
        <f t="shared" si="8"/>
        <v>8.3303936223674162E-4</v>
      </c>
    </row>
    <row r="304" spans="6:9" ht="15">
      <c r="F304" s="1099" t="s">
        <v>1523</v>
      </c>
      <c r="G304" s="1100" t="s">
        <v>1473</v>
      </c>
      <c r="H304" s="1101">
        <v>1.3791042103758424E-2</v>
      </c>
      <c r="I304" s="1102">
        <f t="shared" si="8"/>
        <v>3.6507665817348237E-3</v>
      </c>
    </row>
    <row r="305" spans="6:9" ht="15">
      <c r="F305" s="1099" t="s">
        <v>1523</v>
      </c>
      <c r="G305" s="1100" t="s">
        <v>1477</v>
      </c>
      <c r="H305" s="1101">
        <v>2.8159658999842612E-2</v>
      </c>
      <c r="I305" s="1102">
        <f t="shared" si="8"/>
        <v>0</v>
      </c>
    </row>
    <row r="306" spans="6:9" ht="15">
      <c r="F306" s="1099" t="s">
        <v>1523</v>
      </c>
      <c r="G306" s="1100" t="s">
        <v>1481</v>
      </c>
      <c r="H306" s="1101">
        <v>1.9161043735407212E-3</v>
      </c>
      <c r="I306" s="1102">
        <f t="shared" si="8"/>
        <v>0</v>
      </c>
    </row>
    <row r="307" spans="6:9" ht="15">
      <c r="F307" s="1099" t="s">
        <v>1524</v>
      </c>
      <c r="G307" s="1100" t="s">
        <v>1457</v>
      </c>
      <c r="H307" s="1101">
        <v>0.85205998286522444</v>
      </c>
      <c r="I307" s="1102">
        <f t="shared" si="8"/>
        <v>0.30688405024006188</v>
      </c>
    </row>
    <row r="308" spans="6:9" ht="15">
      <c r="F308" s="1099" t="s">
        <v>1524</v>
      </c>
      <c r="G308" s="1100" t="s">
        <v>1461</v>
      </c>
      <c r="H308" s="1101">
        <v>8.5930713806503398E-2</v>
      </c>
      <c r="I308" s="1102">
        <f t="shared" si="8"/>
        <v>1.3755299456361081E-2</v>
      </c>
    </row>
    <row r="309" spans="6:9" ht="15">
      <c r="F309" s="1099" t="s">
        <v>1524</v>
      </c>
      <c r="G309" s="1100" t="s">
        <v>1471</v>
      </c>
      <c r="H309" s="1101">
        <v>1.5498237273898086E-2</v>
      </c>
      <c r="I309" s="1102">
        <f t="shared" si="8"/>
        <v>2.0759874195791349E-3</v>
      </c>
    </row>
    <row r="310" spans="6:9" ht="15">
      <c r="F310" s="1099" t="s">
        <v>1524</v>
      </c>
      <c r="G310" s="1100" t="s">
        <v>1473</v>
      </c>
      <c r="H310" s="1101">
        <v>1.2264187761458647E-2</v>
      </c>
      <c r="I310" s="1102">
        <f t="shared" si="8"/>
        <v>3.2465774881111002E-3</v>
      </c>
    </row>
    <row r="311" spans="6:9" ht="15">
      <c r="F311" s="1099" t="s">
        <v>1524</v>
      </c>
      <c r="G311" s="1100" t="s">
        <v>1477</v>
      </c>
      <c r="H311" s="1101">
        <v>2.8537392652117591E-2</v>
      </c>
      <c r="I311" s="1102">
        <f t="shared" si="8"/>
        <v>0</v>
      </c>
    </row>
    <row r="312" spans="6:9" ht="15">
      <c r="F312" s="1099" t="s">
        <v>1524</v>
      </c>
      <c r="G312" s="1100" t="s">
        <v>1481</v>
      </c>
      <c r="H312" s="1101">
        <v>5.7094856407978629E-3</v>
      </c>
      <c r="I312" s="1102">
        <f t="shared" si="8"/>
        <v>0</v>
      </c>
    </row>
    <row r="313" spans="6:9" ht="15">
      <c r="F313" s="1099" t="s">
        <v>1525</v>
      </c>
      <c r="G313" s="1100" t="s">
        <v>1457</v>
      </c>
      <c r="H313" s="1101">
        <v>0.80409103030712781</v>
      </c>
      <c r="I313" s="1102">
        <f t="shared" si="8"/>
        <v>0.28960720736181755</v>
      </c>
    </row>
    <row r="314" spans="6:9" ht="15">
      <c r="F314" s="1099" t="s">
        <v>1525</v>
      </c>
      <c r="G314" s="1100" t="s">
        <v>1461</v>
      </c>
      <c r="H314" s="1101">
        <v>0.12388024383922837</v>
      </c>
      <c r="I314" s="1102">
        <f t="shared" si="8"/>
        <v>1.9830044174573742E-2</v>
      </c>
    </row>
    <row r="315" spans="6:9" ht="15">
      <c r="F315" s="1099" t="s">
        <v>1525</v>
      </c>
      <c r="G315" s="1100" t="s">
        <v>1471</v>
      </c>
      <c r="H315" s="1101">
        <v>1.2255813342047242E-2</v>
      </c>
      <c r="I315" s="1102">
        <f t="shared" si="8"/>
        <v>1.6416650400397979E-3</v>
      </c>
    </row>
    <row r="316" spans="6:9" ht="15">
      <c r="F316" s="1099" t="s">
        <v>1525</v>
      </c>
      <c r="G316" s="1100" t="s">
        <v>1473</v>
      </c>
      <c r="H316" s="1101">
        <v>1.3157252263926294E-2</v>
      </c>
      <c r="I316" s="1102">
        <f t="shared" si="8"/>
        <v>3.4829896472802742E-3</v>
      </c>
    </row>
    <row r="317" spans="6:9" ht="15">
      <c r="F317" s="1099" t="s">
        <v>1525</v>
      </c>
      <c r="G317" s="1100" t="s">
        <v>1477</v>
      </c>
      <c r="H317" s="1101">
        <v>4.0031400122445451E-2</v>
      </c>
      <c r="I317" s="1102">
        <f t="shared" si="8"/>
        <v>0</v>
      </c>
    </row>
    <row r="318" spans="6:9" ht="15">
      <c r="F318" s="1099" t="s">
        <v>1525</v>
      </c>
      <c r="G318" s="1100" t="s">
        <v>1481</v>
      </c>
      <c r="H318" s="1101">
        <v>6.5842601252248901E-3</v>
      </c>
      <c r="I318" s="1102">
        <f t="shared" si="8"/>
        <v>0</v>
      </c>
    </row>
    <row r="319" spans="6:9" ht="15">
      <c r="F319" s="1099" t="s">
        <v>3924</v>
      </c>
      <c r="G319" s="1100" t="s">
        <v>1457</v>
      </c>
      <c r="H319" s="1101">
        <v>0.88191137530590802</v>
      </c>
      <c r="I319" s="1102">
        <f t="shared" si="8"/>
        <v>0.31763554239052894</v>
      </c>
    </row>
    <row r="320" spans="6:9" ht="15">
      <c r="F320" s="1099" t="s">
        <v>3924</v>
      </c>
      <c r="G320" s="1100" t="s">
        <v>1461</v>
      </c>
      <c r="H320" s="1101">
        <v>6.5441958959034263E-2</v>
      </c>
      <c r="I320" s="1102">
        <f t="shared" si="8"/>
        <v>1.0475576224345076E-2</v>
      </c>
    </row>
    <row r="321" spans="6:9" ht="15">
      <c r="F321" s="1099" t="s">
        <v>3924</v>
      </c>
      <c r="G321" s="1100" t="s">
        <v>1471</v>
      </c>
      <c r="H321" s="1101">
        <v>1.0863995814925094E-2</v>
      </c>
      <c r="I321" s="1102">
        <f t="shared" si="8"/>
        <v>1.4552312136896491E-3</v>
      </c>
    </row>
    <row r="322" spans="6:9" ht="15">
      <c r="F322" s="1099" t="s">
        <v>3924</v>
      </c>
      <c r="G322" s="1100" t="s">
        <v>1473</v>
      </c>
      <c r="H322" s="1101">
        <v>1.8464672306485071E-2</v>
      </c>
      <c r="I322" s="1102">
        <f t="shared" si="8"/>
        <v>4.8879706183210837E-3</v>
      </c>
    </row>
    <row r="323" spans="6:9" ht="15">
      <c r="F323" s="1099" t="s">
        <v>3924</v>
      </c>
      <c r="G323" s="1100" t="s">
        <v>1477</v>
      </c>
      <c r="H323" s="1101">
        <v>2.2461633827444486E-2</v>
      </c>
      <c r="I323" s="1102">
        <f t="shared" si="8"/>
        <v>0</v>
      </c>
    </row>
    <row r="324" spans="6:9" ht="15">
      <c r="F324" s="1099" t="s">
        <v>3924</v>
      </c>
      <c r="G324" s="1100" t="s">
        <v>1481</v>
      </c>
      <c r="H324" s="1101">
        <v>8.563637862028685E-4</v>
      </c>
      <c r="I324" s="1102">
        <f t="shared" si="8"/>
        <v>0</v>
      </c>
    </row>
  </sheetData>
  <sheetProtection algorithmName="SHA-512" hashValue="DbrWOj2EAc9Oi+Qx8g8ftFyzkXNMEmgnPHmFNT3EKs9/D74rHVjZCyQHfQaTznoy2wEltjd2pwb89cRHjkU32g==" saltValue="89TcvGYWD7+Uxw69eVkDRw==" spinCount="100000" sheet="1" objects="1" scenarios="1" selectLockedCells="1" selectUnlockedCells="1"/>
  <mergeCells count="3">
    <mergeCell ref="F2:H2"/>
    <mergeCell ref="F5:I5"/>
    <mergeCell ref="F3:I3"/>
  </mergeCells>
  <hyperlinks>
    <hyperlink ref="K4" r:id="rId1" xr:uid="{FA2C3AB0-AE41-4DE6-8473-47F7B1EC2FE9}"/>
    <hyperlink ref="F5" r:id="rId2" xr:uid="{1A6FF869-8733-4BEF-A0F6-A1CB5E15BF7B}"/>
  </hyperlinks>
  <pageMargins left="0.7" right="0.7" top="0.75" bottom="0.75" header="0.3" footer="0.3"/>
  <pageSetup orientation="portrait"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9CCBC7-8269-4BDD-9BD4-31FF9B2BD532}">
  <sheetPr codeName="Sheet35"/>
  <dimension ref="A1:P54"/>
  <sheetViews>
    <sheetView zoomScale="85" zoomScaleNormal="85" workbookViewId="0">
      <selection sqref="A1:XFD1048576"/>
    </sheetView>
  </sheetViews>
  <sheetFormatPr defaultColWidth="9" defaultRowHeight="15"/>
  <cols>
    <col min="1" max="1" width="9" style="1117"/>
    <col min="2" max="2" width="34.5" style="1117" customWidth="1"/>
    <col min="3" max="5" width="9" style="1117"/>
    <col min="6" max="11" width="12.125" style="30" customWidth="1"/>
    <col min="12" max="12" width="12.25" style="1125" customWidth="1"/>
    <col min="13" max="13" width="10.625" style="30" customWidth="1"/>
    <col min="14" max="14" width="9" style="30"/>
    <col min="15" max="15" width="3.875" style="30" bestFit="1" customWidth="1"/>
    <col min="16" max="16" width="21.375" style="30" bestFit="1" customWidth="1"/>
    <col min="17" max="16384" width="9" style="1117"/>
  </cols>
  <sheetData>
    <row r="1" spans="1:16" ht="75">
      <c r="A1" s="1115" t="s">
        <v>1467</v>
      </c>
      <c r="B1" s="1116" t="s">
        <v>1469</v>
      </c>
      <c r="E1" s="1118" t="s">
        <v>4242</v>
      </c>
      <c r="F1" s="1119" t="s">
        <v>4243</v>
      </c>
      <c r="G1" s="1119" t="s">
        <v>4244</v>
      </c>
      <c r="H1" s="1120" t="s">
        <v>4252</v>
      </c>
      <c r="I1" s="1120" t="s">
        <v>4254</v>
      </c>
      <c r="J1" s="1120" t="s">
        <v>4256</v>
      </c>
      <c r="K1" s="1120" t="s">
        <v>4258</v>
      </c>
      <c r="L1" s="1121" t="s">
        <v>4272</v>
      </c>
      <c r="M1" s="1121" t="s">
        <v>4273</v>
      </c>
      <c r="N1" s="1121"/>
    </row>
    <row r="2" spans="1:16" ht="14.25" customHeight="1" thickBot="1">
      <c r="A2" s="1117" t="s">
        <v>1528</v>
      </c>
      <c r="E2" s="1122" t="s">
        <v>4260</v>
      </c>
      <c r="F2" s="1123" t="s">
        <v>4245</v>
      </c>
      <c r="G2" s="1123" t="s">
        <v>4246</v>
      </c>
      <c r="H2" s="1124" t="s">
        <v>4253</v>
      </c>
      <c r="I2" s="1124" t="s">
        <v>4255</v>
      </c>
      <c r="J2" s="1124" t="s">
        <v>4257</v>
      </c>
      <c r="K2" s="1124" t="s">
        <v>4259</v>
      </c>
    </row>
    <row r="3" spans="1:16" ht="15.75" thickBot="1">
      <c r="A3" s="1126">
        <v>150</v>
      </c>
      <c r="B3" s="1127" t="s">
        <v>1532</v>
      </c>
      <c r="E3" s="1117" t="s">
        <v>1462</v>
      </c>
      <c r="F3" s="1128">
        <v>2024</v>
      </c>
      <c r="G3" s="1128" t="s">
        <v>1527</v>
      </c>
      <c r="H3" s="1129">
        <v>368.62166880000001</v>
      </c>
      <c r="I3" s="1129">
        <v>3.44736E-2</v>
      </c>
      <c r="J3" s="1129">
        <v>4.9896000000000003E-3</v>
      </c>
      <c r="K3" s="1129">
        <v>370.95090479999999</v>
      </c>
      <c r="L3" s="1130">
        <f>H3+(I3*GWPs!$C$4)+(J3*GWPs!$C$5)</f>
        <v>371.01114288000002</v>
      </c>
      <c r="M3" s="1131">
        <f>L3/1000000</f>
        <v>3.7101114288000002E-4</v>
      </c>
    </row>
    <row r="4" spans="1:16">
      <c r="E4" s="1117" t="s">
        <v>1458</v>
      </c>
      <c r="F4" s="1128">
        <v>2024</v>
      </c>
      <c r="G4" s="1128" t="s">
        <v>1531</v>
      </c>
      <c r="H4" s="1129">
        <v>329.17434479999997</v>
      </c>
      <c r="I4" s="1129">
        <v>2.13192E-2</v>
      </c>
      <c r="J4" s="1129">
        <v>3.1752E-3</v>
      </c>
      <c r="K4" s="1129">
        <v>330.65353440000001</v>
      </c>
      <c r="L4" s="1130">
        <f>H4+(I4*GWPs!$C$4)+(J4*GWPs!$C$5)</f>
        <v>330.67648656</v>
      </c>
      <c r="M4" s="1131">
        <f t="shared" ref="M4:M54" si="0">L4/1000000</f>
        <v>3.3067648655999999E-4</v>
      </c>
      <c r="P4" s="1132" t="s">
        <v>4343</v>
      </c>
    </row>
    <row r="5" spans="1:16">
      <c r="E5" s="1117" t="s">
        <v>1472</v>
      </c>
      <c r="F5" s="1128">
        <v>2024</v>
      </c>
      <c r="G5" s="1128" t="s">
        <v>1533</v>
      </c>
      <c r="H5" s="1129">
        <v>437.2563384</v>
      </c>
      <c r="I5" s="1129">
        <v>3.3566400000000003E-2</v>
      </c>
      <c r="J5" s="1129">
        <v>4.9896000000000003E-3</v>
      </c>
      <c r="K5" s="1129">
        <v>439.55609040000002</v>
      </c>
      <c r="L5" s="1130">
        <f>H5+(I5*GWPs!$C$4)+(J5*GWPs!$C$5)</f>
        <v>439.61877792000001</v>
      </c>
      <c r="M5" s="1131">
        <f t="shared" si="0"/>
        <v>4.3961877792000003E-4</v>
      </c>
      <c r="P5" s="1077" t="s">
        <v>4251</v>
      </c>
    </row>
    <row r="6" spans="1:16">
      <c r="E6" s="1117" t="s">
        <v>1468</v>
      </c>
      <c r="F6" s="1128">
        <v>2024</v>
      </c>
      <c r="G6" s="1128" t="s">
        <v>1534</v>
      </c>
      <c r="H6" s="1129">
        <v>288.81846000000002</v>
      </c>
      <c r="I6" s="1129">
        <v>1.4515200000000001E-2</v>
      </c>
      <c r="J6" s="1129">
        <v>1.8144000000000001E-3</v>
      </c>
      <c r="K6" s="1129">
        <v>289.76965919999998</v>
      </c>
      <c r="L6" s="1130">
        <f>H6+(I6*GWPs!$C$4)+(J6*GWPs!$C$5)</f>
        <v>289.74634416000004</v>
      </c>
      <c r="M6" s="1131">
        <f t="shared" si="0"/>
        <v>2.8974634416000005E-4</v>
      </c>
      <c r="P6" s="1133" t="s">
        <v>4247</v>
      </c>
    </row>
    <row r="7" spans="1:16">
      <c r="A7" s="1117" t="s">
        <v>1529</v>
      </c>
      <c r="B7" s="1117">
        <v>2.2046199999999998</v>
      </c>
      <c r="C7" s="1117" t="s">
        <v>1530</v>
      </c>
      <c r="E7" s="1117" t="s">
        <v>1474</v>
      </c>
      <c r="F7" s="1128">
        <v>2024</v>
      </c>
      <c r="G7" s="1128" t="s">
        <v>1535</v>
      </c>
      <c r="H7" s="1129">
        <v>164.6001</v>
      </c>
      <c r="I7" s="1129">
        <v>9.0720000000000002E-3</v>
      </c>
      <c r="J7" s="1129">
        <v>9.0720000000000004E-4</v>
      </c>
      <c r="K7" s="1129">
        <v>165.15666719999999</v>
      </c>
      <c r="L7" s="1130">
        <f>H7+(I7*GWPs!$C$4)+(J7*GWPs!$C$5)</f>
        <v>165.11811120000002</v>
      </c>
      <c r="M7" s="1131">
        <f t="shared" si="0"/>
        <v>1.6511811120000001E-4</v>
      </c>
      <c r="P7" s="1077" t="s">
        <v>4248</v>
      </c>
    </row>
    <row r="8" spans="1:16">
      <c r="E8" s="1117" t="s">
        <v>1478</v>
      </c>
      <c r="F8" s="1128">
        <v>2024</v>
      </c>
      <c r="G8" s="1128" t="s">
        <v>1536</v>
      </c>
      <c r="H8" s="1129">
        <v>454.96760399999999</v>
      </c>
      <c r="I8" s="1129">
        <v>3.6288000000000001E-2</v>
      </c>
      <c r="J8" s="1129">
        <v>4.9896000000000003E-3</v>
      </c>
      <c r="K8" s="1129">
        <v>457.45650719999998</v>
      </c>
      <c r="L8" s="1130">
        <f>H8+(I8*GWPs!$C$4)+(J8*GWPs!$C$5)</f>
        <v>457.41114720000002</v>
      </c>
      <c r="M8" s="1131">
        <f t="shared" si="0"/>
        <v>4.5741114720000003E-4</v>
      </c>
      <c r="P8" s="1122" t="s">
        <v>4249</v>
      </c>
    </row>
    <row r="9" spans="1:16">
      <c r="E9" s="1117" t="s">
        <v>1482</v>
      </c>
      <c r="F9" s="1128">
        <v>2024</v>
      </c>
      <c r="G9" s="1128" t="s">
        <v>1537</v>
      </c>
      <c r="H9" s="1129">
        <v>227.9403504</v>
      </c>
      <c r="I9" s="1129">
        <v>1.5876000000000001E-2</v>
      </c>
      <c r="J9" s="1129">
        <v>1.8144000000000001E-3</v>
      </c>
      <c r="K9" s="1129">
        <v>228.9564144</v>
      </c>
      <c r="L9" s="1130">
        <f>H9+(I9*GWPs!$C$4)+(J9*GWPs!$C$5)</f>
        <v>228.9087864</v>
      </c>
      <c r="M9" s="1131">
        <f t="shared" si="0"/>
        <v>2.2890878639999999E-4</v>
      </c>
      <c r="P9" s="1122" t="s">
        <v>4250</v>
      </c>
    </row>
    <row r="10" spans="1:16">
      <c r="E10" s="1117" t="s">
        <v>1526</v>
      </c>
      <c r="F10" s="1128">
        <v>2024</v>
      </c>
      <c r="G10" s="1128" t="s">
        <v>1538</v>
      </c>
      <c r="H10" s="1129">
        <v>157.49536320000001</v>
      </c>
      <c r="I10" s="1129">
        <v>7.7111999999999997E-3</v>
      </c>
      <c r="J10" s="1129">
        <v>9.0720000000000004E-4</v>
      </c>
      <c r="K10" s="1129">
        <v>157.92855119999999</v>
      </c>
      <c r="L10" s="1130">
        <f>H10+(I10*GWPs!$C$4)+(J10*GWPs!$C$5)</f>
        <v>157.97282256000003</v>
      </c>
      <c r="M10" s="1131">
        <f t="shared" si="0"/>
        <v>1.5797282256000002E-4</v>
      </c>
    </row>
    <row r="11" spans="1:16">
      <c r="E11" s="1117" t="s">
        <v>1483</v>
      </c>
      <c r="F11" s="1128">
        <v>2024</v>
      </c>
      <c r="G11" s="1128" t="s">
        <v>1539</v>
      </c>
      <c r="H11" s="1129">
        <v>359.93931120000002</v>
      </c>
      <c r="I11" s="1129">
        <v>1.27008E-2</v>
      </c>
      <c r="J11" s="1129">
        <v>1.3607999999999999E-3</v>
      </c>
      <c r="K11" s="1129">
        <v>360.754884</v>
      </c>
      <c r="L11" s="1130">
        <f>H11+(I11*GWPs!$C$4)+(J11*GWPs!$C$5)</f>
        <v>360.68929344000003</v>
      </c>
      <c r="M11" s="1131">
        <f t="shared" si="0"/>
        <v>3.6068929344000003E-4</v>
      </c>
    </row>
    <row r="12" spans="1:16">
      <c r="E12" s="1117" t="s">
        <v>1401</v>
      </c>
      <c r="F12" s="1128">
        <v>2024</v>
      </c>
      <c r="G12" s="1128" t="s">
        <v>1540</v>
      </c>
      <c r="H12" s="1129">
        <v>345.67903439999998</v>
      </c>
      <c r="I12" s="1129">
        <v>1.5876000000000001E-2</v>
      </c>
      <c r="J12" s="1129">
        <v>1.8144000000000001E-3</v>
      </c>
      <c r="K12" s="1129">
        <v>346.70144879999998</v>
      </c>
      <c r="L12" s="1130">
        <f>H12+(I12*GWPs!$C$4)+(J12*GWPs!$C$5)</f>
        <v>346.64747039999997</v>
      </c>
      <c r="M12" s="1131">
        <f t="shared" si="0"/>
        <v>3.4664747039999999E-4</v>
      </c>
    </row>
    <row r="13" spans="1:16">
      <c r="E13" s="1117" t="s">
        <v>5</v>
      </c>
      <c r="F13" s="1128">
        <v>2024</v>
      </c>
      <c r="G13" s="1128" t="s">
        <v>1541</v>
      </c>
      <c r="H13" s="1129">
        <v>299.21860079999999</v>
      </c>
      <c r="I13" s="1129">
        <v>2.4040800000000001E-2</v>
      </c>
      <c r="J13" s="1129">
        <v>3.6288000000000002E-3</v>
      </c>
      <c r="K13" s="1129">
        <v>300.88920960000002</v>
      </c>
      <c r="L13" s="1130">
        <f>H13+(I13*GWPs!$C$4)+(J13*GWPs!$C$5)</f>
        <v>300.92567904000003</v>
      </c>
      <c r="M13" s="1131">
        <f t="shared" si="0"/>
        <v>3.0092567904000002E-4</v>
      </c>
    </row>
    <row r="14" spans="1:16">
      <c r="E14" s="1117" t="s">
        <v>1487</v>
      </c>
      <c r="F14" s="1128">
        <v>2024</v>
      </c>
      <c r="G14" s="1128" t="s">
        <v>1542</v>
      </c>
      <c r="H14" s="1129">
        <v>619.75957679999999</v>
      </c>
      <c r="I14" s="1129">
        <v>5.3071199999999999E-2</v>
      </c>
      <c r="J14" s="1129">
        <v>8.6184E-3</v>
      </c>
      <c r="K14" s="1129">
        <v>623.69228880000003</v>
      </c>
      <c r="L14" s="1130">
        <f>H14+(I14*GWPs!$C$4)+(J14*GWPs!$C$5)</f>
        <v>623.69392175999997</v>
      </c>
      <c r="M14" s="1131">
        <f t="shared" si="0"/>
        <v>6.2369392175999996E-4</v>
      </c>
    </row>
    <row r="15" spans="1:16">
      <c r="E15" s="1117" t="s">
        <v>1491</v>
      </c>
      <c r="F15" s="1128">
        <v>2024</v>
      </c>
      <c r="G15" s="1128" t="s">
        <v>1543</v>
      </c>
      <c r="H15" s="1129">
        <v>254.4351264</v>
      </c>
      <c r="I15" s="1129">
        <v>2.4040800000000001E-2</v>
      </c>
      <c r="J15" s="1129">
        <v>3.6288000000000002E-3</v>
      </c>
      <c r="K15" s="1129">
        <v>256.08985919999998</v>
      </c>
      <c r="L15" s="1130">
        <f>H15+(I15*GWPs!$C$4)+(J15*GWPs!$C$5)</f>
        <v>256.14220463999999</v>
      </c>
      <c r="M15" s="1131">
        <f t="shared" si="0"/>
        <v>2.5614220463999999E-4</v>
      </c>
    </row>
    <row r="16" spans="1:16">
      <c r="E16" s="1117" t="s">
        <v>1488</v>
      </c>
      <c r="F16" s="1128">
        <v>2024</v>
      </c>
      <c r="G16" s="1128" t="s">
        <v>27</v>
      </c>
      <c r="H16" s="1129">
        <v>145.1175264</v>
      </c>
      <c r="I16" s="1129">
        <v>4.0823999999999999E-3</v>
      </c>
      <c r="J16" s="1129">
        <v>4.5360000000000002E-4</v>
      </c>
      <c r="K16" s="1129">
        <v>145.376532</v>
      </c>
      <c r="L16" s="1130">
        <f>H16+(I16*GWPs!$C$4)+(J16*GWPs!$C$5)</f>
        <v>145.36301472</v>
      </c>
      <c r="M16" s="1131">
        <f t="shared" si="0"/>
        <v>1.4536301471999998E-4</v>
      </c>
    </row>
    <row r="17" spans="5:13">
      <c r="E17" s="1117" t="s">
        <v>1489</v>
      </c>
      <c r="F17" s="1128">
        <v>2024</v>
      </c>
      <c r="G17" s="1128" t="s">
        <v>1544</v>
      </c>
      <c r="H17" s="1129">
        <v>204.12317519999999</v>
      </c>
      <c r="I17" s="1129">
        <v>1.8144E-2</v>
      </c>
      <c r="J17" s="1129">
        <v>2.7215999999999998E-3</v>
      </c>
      <c r="K17" s="1129">
        <v>205.38372960000001</v>
      </c>
      <c r="L17" s="1130">
        <f>H17+(I17*GWPs!$C$4)+(J17*GWPs!$C$5)</f>
        <v>205.40686319999998</v>
      </c>
      <c r="M17" s="1131">
        <f t="shared" si="0"/>
        <v>2.0540686319999997E-4</v>
      </c>
    </row>
    <row r="18" spans="5:13">
      <c r="E18" s="1117" t="s">
        <v>1490</v>
      </c>
      <c r="F18" s="1128">
        <v>2024</v>
      </c>
      <c r="G18" s="1128" t="s">
        <v>1545</v>
      </c>
      <c r="H18" s="1129">
        <v>622.23940800000003</v>
      </c>
      <c r="I18" s="1129">
        <v>5.26176E-2</v>
      </c>
      <c r="J18" s="1129">
        <v>7.7111999999999997E-3</v>
      </c>
      <c r="K18" s="1129">
        <v>625.8509712</v>
      </c>
      <c r="L18" s="1130">
        <f>H18+(I18*GWPs!$C$4)+(J18*GWPs!$C$5)</f>
        <v>625.91257008000002</v>
      </c>
      <c r="M18" s="1131">
        <f t="shared" si="0"/>
        <v>6.2591257007999998E-4</v>
      </c>
    </row>
    <row r="19" spans="5:13">
      <c r="E19" s="1117" t="s">
        <v>1492</v>
      </c>
      <c r="F19" s="1128">
        <v>2024</v>
      </c>
      <c r="G19" s="1128" t="s">
        <v>1546</v>
      </c>
      <c r="H19" s="1129">
        <v>290.08218959999999</v>
      </c>
      <c r="I19" s="1129">
        <v>2.9484E-2</v>
      </c>
      <c r="J19" s="1129">
        <v>4.0823999999999999E-3</v>
      </c>
      <c r="K19" s="1129">
        <v>292.13291520000001</v>
      </c>
      <c r="L19" s="1130">
        <f>H19+(I19*GWPs!$C$4)+(J19*GWPs!$C$5)</f>
        <v>292.07530800000001</v>
      </c>
      <c r="M19" s="1131">
        <f t="shared" si="0"/>
        <v>2.92075308E-4</v>
      </c>
    </row>
    <row r="20" spans="5:13">
      <c r="E20" s="1117" t="s">
        <v>1493</v>
      </c>
      <c r="F20" s="1128">
        <v>2024</v>
      </c>
      <c r="G20" s="1128" t="s">
        <v>1547</v>
      </c>
      <c r="H20" s="1129">
        <v>783.0328968</v>
      </c>
      <c r="I20" s="1129">
        <v>8.0287200000000003E-2</v>
      </c>
      <c r="J20" s="1129">
        <v>1.17936E-2</v>
      </c>
      <c r="K20" s="1129">
        <v>788.59630079999999</v>
      </c>
      <c r="L20" s="1130">
        <f>H20+(I20*GWPs!$C$4)+(J20*GWPs!$C$5)</f>
        <v>788.64510815999995</v>
      </c>
      <c r="M20" s="1131">
        <f t="shared" si="0"/>
        <v>7.8864510815999998E-4</v>
      </c>
    </row>
    <row r="21" spans="5:13">
      <c r="E21" s="1117" t="s">
        <v>1494</v>
      </c>
      <c r="F21" s="1128">
        <v>2024</v>
      </c>
      <c r="G21" s="1128" t="s">
        <v>1548</v>
      </c>
      <c r="H21" s="1129">
        <v>329.50456559999998</v>
      </c>
      <c r="I21" s="1129">
        <v>9.9792000000000006E-3</v>
      </c>
      <c r="J21" s="1129">
        <v>1.3607999999999999E-3</v>
      </c>
      <c r="K21" s="1129">
        <v>330.16455359999998</v>
      </c>
      <c r="L21" s="1130">
        <f>H21+(I21*GWPs!$C$4)+(J21*GWPs!$C$5)</f>
        <v>330.17344415999997</v>
      </c>
      <c r="M21" s="1131">
        <f t="shared" si="0"/>
        <v>3.3017344415999997E-4</v>
      </c>
    </row>
    <row r="22" spans="5:13">
      <c r="E22" s="1117" t="s">
        <v>1497</v>
      </c>
      <c r="F22" s="1128">
        <v>2024</v>
      </c>
      <c r="G22" s="1128" t="s">
        <v>1549</v>
      </c>
      <c r="H22" s="1129">
        <v>385.48424879999999</v>
      </c>
      <c r="I22" s="1129">
        <v>5.3978400000000003E-2</v>
      </c>
      <c r="J22" s="1129">
        <v>6.8040000000000002E-3</v>
      </c>
      <c r="K22" s="1129">
        <v>388.9928448</v>
      </c>
      <c r="L22" s="1130">
        <f>H22+(I22*GWPs!$C$4)+(J22*GWPs!$C$5)</f>
        <v>388.95029711999996</v>
      </c>
      <c r="M22" s="1131">
        <f t="shared" si="0"/>
        <v>3.8895029711999998E-4</v>
      </c>
    </row>
    <row r="23" spans="5:13">
      <c r="E23" s="1117" t="s">
        <v>1496</v>
      </c>
      <c r="F23" s="1128">
        <v>2024</v>
      </c>
      <c r="G23" s="1128" t="s">
        <v>1550</v>
      </c>
      <c r="H23" s="1129">
        <v>254.69186400000001</v>
      </c>
      <c r="I23" s="1129">
        <v>1.9504799999999999E-2</v>
      </c>
      <c r="J23" s="1129">
        <v>2.7215999999999998E-3</v>
      </c>
      <c r="K23" s="1129">
        <v>255.99505679999999</v>
      </c>
      <c r="L23" s="1130">
        <f>H23+(I23*GWPs!$C$4)+(J23*GWPs!$C$5)</f>
        <v>256.01610384000003</v>
      </c>
      <c r="M23" s="1131">
        <f t="shared" si="0"/>
        <v>2.5601610384000004E-4</v>
      </c>
    </row>
    <row r="24" spans="5:13">
      <c r="E24" s="1117" t="s">
        <v>1495</v>
      </c>
      <c r="F24" s="1128">
        <v>2024</v>
      </c>
      <c r="G24" s="1128" t="s">
        <v>1551</v>
      </c>
      <c r="H24" s="1129">
        <v>180.44253359999999</v>
      </c>
      <c r="I24" s="1129">
        <v>3.3112799999999998E-2</v>
      </c>
      <c r="J24" s="1129">
        <v>4.5360000000000001E-3</v>
      </c>
      <c r="K24" s="1129">
        <v>182.70418319999999</v>
      </c>
      <c r="L24" s="1130">
        <f>H24+(I24*GWPs!$C$4)+(J24*GWPs!$C$5)</f>
        <v>182.66762304</v>
      </c>
      <c r="M24" s="1131">
        <f t="shared" si="0"/>
        <v>1.8266762304000001E-4</v>
      </c>
    </row>
    <row r="25" spans="5:13">
      <c r="E25" s="1117" t="s">
        <v>1498</v>
      </c>
      <c r="F25" s="1128">
        <v>2024</v>
      </c>
      <c r="G25" s="1128" t="s">
        <v>1552</v>
      </c>
      <c r="H25" s="1129">
        <v>368.96821920000002</v>
      </c>
      <c r="I25" s="1129">
        <v>3.1752000000000002E-2</v>
      </c>
      <c r="J25" s="1129">
        <v>4.5360000000000001E-3</v>
      </c>
      <c r="K25" s="1129">
        <v>371.12145839999999</v>
      </c>
      <c r="L25" s="1130">
        <f>H25+(I25*GWPs!$C$4)+(J25*GWPs!$C$5)</f>
        <v>371.15275680000002</v>
      </c>
      <c r="M25" s="1131">
        <f t="shared" si="0"/>
        <v>3.7115275680000003E-4</v>
      </c>
    </row>
    <row r="26" spans="5:13">
      <c r="E26" s="1117" t="s">
        <v>1499</v>
      </c>
      <c r="F26" s="1128">
        <v>2024</v>
      </c>
      <c r="G26" s="1128" t="s">
        <v>1553</v>
      </c>
      <c r="H26" s="1129">
        <v>317.093616</v>
      </c>
      <c r="I26" s="1129">
        <v>2.9937600000000002E-2</v>
      </c>
      <c r="J26" s="1129">
        <v>4.0823999999999999E-3</v>
      </c>
      <c r="K26" s="1129">
        <v>319.15205279999998</v>
      </c>
      <c r="L26" s="1130">
        <f>H26+(I26*GWPs!$C$4)+(J26*GWPs!$C$5)</f>
        <v>319.10025168000004</v>
      </c>
      <c r="M26" s="1131">
        <f t="shared" si="0"/>
        <v>3.1910025168000003E-4</v>
      </c>
    </row>
    <row r="27" spans="5:13">
      <c r="E27" s="1117" t="s">
        <v>1501</v>
      </c>
      <c r="F27" s="1128">
        <v>2024</v>
      </c>
      <c r="G27" s="1128" t="s">
        <v>1554</v>
      </c>
      <c r="H27" s="1129">
        <v>631.15673040000001</v>
      </c>
      <c r="I27" s="1129">
        <v>6.8040000000000003E-2</v>
      </c>
      <c r="J27" s="1129">
        <v>9.9792000000000006E-3</v>
      </c>
      <c r="K27" s="1129">
        <v>635.8732632</v>
      </c>
      <c r="L27" s="1130">
        <f>H27+(I27*GWPs!$C$4)+(J27*GWPs!$C$5)</f>
        <v>635.90864400000009</v>
      </c>
      <c r="M27" s="1131">
        <f t="shared" si="0"/>
        <v>6.3590864400000005E-4</v>
      </c>
    </row>
    <row r="28" spans="5:13">
      <c r="E28" s="1117" t="s">
        <v>1500</v>
      </c>
      <c r="F28" s="1128">
        <v>2024</v>
      </c>
      <c r="G28" s="1128" t="s">
        <v>1555</v>
      </c>
      <c r="H28" s="1129">
        <v>361.05199199999998</v>
      </c>
      <c r="I28" s="1129">
        <v>1.17936E-2</v>
      </c>
      <c r="J28" s="1129">
        <v>1.3607999999999999E-3</v>
      </c>
      <c r="K28" s="1129">
        <v>361.82583360000001</v>
      </c>
      <c r="L28" s="1130">
        <f>H28+(I28*GWPs!$C$4)+(J28*GWPs!$C$5)</f>
        <v>361.77493967999999</v>
      </c>
      <c r="M28" s="1131">
        <f t="shared" si="0"/>
        <v>3.6177493967999997E-4</v>
      </c>
    </row>
    <row r="29" spans="5:13">
      <c r="E29" s="1117" t="s">
        <v>1502</v>
      </c>
      <c r="F29" s="1128">
        <v>2024</v>
      </c>
      <c r="G29" s="1128" t="s">
        <v>1556</v>
      </c>
      <c r="H29" s="1129">
        <v>410.09386319999999</v>
      </c>
      <c r="I29" s="1129">
        <v>4.5359999999999998E-2</v>
      </c>
      <c r="J29" s="1129">
        <v>6.8040000000000002E-3</v>
      </c>
      <c r="K29" s="1129">
        <v>413.24230080000001</v>
      </c>
      <c r="L29" s="1130">
        <f>H29+(I29*GWPs!$C$4)+(J29*GWPs!$C$5)</f>
        <v>413.30308319999995</v>
      </c>
      <c r="M29" s="1131">
        <f t="shared" si="0"/>
        <v>4.1330308319999996E-4</v>
      </c>
    </row>
    <row r="30" spans="5:13">
      <c r="E30" s="1117" t="s">
        <v>1509</v>
      </c>
      <c r="F30" s="1128">
        <v>2024</v>
      </c>
      <c r="G30" s="1128" t="s">
        <v>1557</v>
      </c>
      <c r="H30" s="1129">
        <v>305.1952344</v>
      </c>
      <c r="I30" s="1129">
        <v>1.8597599999999999E-2</v>
      </c>
      <c r="J30" s="1129">
        <v>2.7215999999999998E-3</v>
      </c>
      <c r="K30" s="1129">
        <v>306.4630464</v>
      </c>
      <c r="L30" s="1130">
        <f>H30+(I30*GWPs!$C$4)+(J30*GWPs!$C$5)</f>
        <v>306.49243968000002</v>
      </c>
      <c r="M30" s="1131">
        <f t="shared" si="0"/>
        <v>3.0649243968000004E-4</v>
      </c>
    </row>
    <row r="31" spans="5:13">
      <c r="E31" s="1117" t="s">
        <v>1510</v>
      </c>
      <c r="F31" s="1128">
        <v>2024</v>
      </c>
      <c r="G31" s="1128" t="s">
        <v>1558</v>
      </c>
      <c r="H31" s="1129">
        <v>601.84464479999997</v>
      </c>
      <c r="I31" s="1129">
        <v>6.5771999999999997E-2</v>
      </c>
      <c r="J31" s="1129">
        <v>9.5256000000000004E-3</v>
      </c>
      <c r="K31" s="1129">
        <v>606.40060319999998</v>
      </c>
      <c r="L31" s="1130">
        <f>H31+(I31*GWPs!$C$4)+(J31*GWPs!$C$5)</f>
        <v>606.40513920000001</v>
      </c>
      <c r="M31" s="1131">
        <f t="shared" si="0"/>
        <v>6.0640513920000002E-4</v>
      </c>
    </row>
    <row r="32" spans="5:13">
      <c r="E32" s="1117" t="s">
        <v>1503</v>
      </c>
      <c r="F32" s="1128">
        <v>2024</v>
      </c>
      <c r="G32" s="1128" t="s">
        <v>1559</v>
      </c>
      <c r="H32" s="1129">
        <v>448.6902336</v>
      </c>
      <c r="I32" s="1129">
        <v>5.08032E-2</v>
      </c>
      <c r="J32" s="1129">
        <v>7.2576000000000003E-3</v>
      </c>
      <c r="K32" s="1129">
        <v>452.22740640000001</v>
      </c>
      <c r="L32" s="1130">
        <f>H32+(I32*GWPs!$C$4)+(J32*GWPs!$C$5)</f>
        <v>452.18549375999999</v>
      </c>
      <c r="M32" s="1131">
        <f t="shared" si="0"/>
        <v>4.5218549375999998E-4</v>
      </c>
    </row>
    <row r="33" spans="5:13">
      <c r="E33" s="1117" t="s">
        <v>1505</v>
      </c>
      <c r="F33" s="1128">
        <v>2024</v>
      </c>
      <c r="G33" s="1128" t="s">
        <v>1560</v>
      </c>
      <c r="H33" s="1129">
        <v>132.53330159999999</v>
      </c>
      <c r="I33" s="1129">
        <v>2.22264E-2</v>
      </c>
      <c r="J33" s="1129">
        <v>2.7215999999999998E-3</v>
      </c>
      <c r="K33" s="1129">
        <v>133.9712136</v>
      </c>
      <c r="L33" s="1130">
        <f>H33+(I33*GWPs!$C$4)+(J33*GWPs!$C$5)</f>
        <v>133.93864511999996</v>
      </c>
      <c r="M33" s="1131">
        <f t="shared" si="0"/>
        <v>1.3393864511999996E-4</v>
      </c>
    </row>
    <row r="34" spans="5:13">
      <c r="E34" s="1117" t="s">
        <v>1506</v>
      </c>
      <c r="F34" s="1128">
        <v>2024</v>
      </c>
      <c r="G34" s="1128" t="s">
        <v>1561</v>
      </c>
      <c r="H34" s="1129">
        <v>206.27913599999999</v>
      </c>
      <c r="I34" s="1129">
        <v>1.4515200000000001E-2</v>
      </c>
      <c r="J34" s="1129">
        <v>1.8144000000000001E-3</v>
      </c>
      <c r="K34" s="1129">
        <v>207.2049336</v>
      </c>
      <c r="L34" s="1130">
        <f>H34+(I34*GWPs!$C$4)+(J34*GWPs!$C$5)</f>
        <v>207.20702016000001</v>
      </c>
      <c r="M34" s="1131">
        <f t="shared" si="0"/>
        <v>2.0720702016000002E-4</v>
      </c>
    </row>
    <row r="35" spans="5:13">
      <c r="E35" s="1117" t="s">
        <v>1507</v>
      </c>
      <c r="F35" s="1128">
        <v>2024</v>
      </c>
      <c r="G35" s="1128" t="s">
        <v>1562</v>
      </c>
      <c r="H35" s="1129">
        <v>346.1584896</v>
      </c>
      <c r="I35" s="1129">
        <v>2.5855199999999998E-2</v>
      </c>
      <c r="J35" s="1129">
        <v>3.6288000000000002E-3</v>
      </c>
      <c r="K35" s="1129">
        <v>347.9343336</v>
      </c>
      <c r="L35" s="1130">
        <f>H35+(I35*GWPs!$C$4)+(J35*GWPs!$C$5)</f>
        <v>347.91963695999999</v>
      </c>
      <c r="M35" s="1131">
        <f t="shared" si="0"/>
        <v>3.4791963696000002E-4</v>
      </c>
    </row>
    <row r="36" spans="5:13">
      <c r="E36" s="1117" t="s">
        <v>1504</v>
      </c>
      <c r="F36" s="1128">
        <v>2024</v>
      </c>
      <c r="G36" s="1128" t="s">
        <v>1563</v>
      </c>
      <c r="H36" s="1129">
        <v>277.11694080000001</v>
      </c>
      <c r="I36" s="1129">
        <v>1.0886399999999999E-2</v>
      </c>
      <c r="J36" s="1129">
        <v>1.3607999999999999E-3</v>
      </c>
      <c r="K36" s="1129">
        <v>277.83136080000003</v>
      </c>
      <c r="L36" s="1130">
        <f>H36+(I36*GWPs!$C$4)+(J36*GWPs!$C$5)</f>
        <v>277.81285392000001</v>
      </c>
      <c r="M36" s="1131">
        <f t="shared" si="0"/>
        <v>2.7781285392000003E-4</v>
      </c>
    </row>
    <row r="37" spans="5:13">
      <c r="E37" s="1117" t="s">
        <v>1508</v>
      </c>
      <c r="F37" s="1128">
        <v>2024</v>
      </c>
      <c r="G37" s="1128" t="s">
        <v>1564</v>
      </c>
      <c r="H37" s="1129">
        <v>218.42064719999999</v>
      </c>
      <c r="I37" s="1129">
        <v>1.0886399999999999E-2</v>
      </c>
      <c r="J37" s="1129">
        <v>1.3607999999999999E-3</v>
      </c>
      <c r="K37" s="1129">
        <v>219.1033152</v>
      </c>
      <c r="L37" s="1130">
        <f>H37+(I37*GWPs!$C$4)+(J37*GWPs!$C$5)</f>
        <v>219.11656031999999</v>
      </c>
      <c r="M37" s="1131">
        <f t="shared" si="0"/>
        <v>2.1911656032E-4</v>
      </c>
    </row>
    <row r="38" spans="5:13">
      <c r="E38" s="1117" t="s">
        <v>1396</v>
      </c>
      <c r="F38" s="1128">
        <v>2024</v>
      </c>
      <c r="G38" s="1128" t="s">
        <v>1565</v>
      </c>
      <c r="H38" s="1129">
        <v>468.36014399999999</v>
      </c>
      <c r="I38" s="1129">
        <v>2.8576799999999999E-2</v>
      </c>
      <c r="J38" s="1129">
        <v>4.0823999999999999E-3</v>
      </c>
      <c r="K38" s="1129">
        <v>470.29701599999999</v>
      </c>
      <c r="L38" s="1130">
        <f>H38+(I38*GWPs!$C$4)+(J38*GWPs!$C$5)</f>
        <v>470.32622784</v>
      </c>
      <c r="M38" s="1131">
        <f t="shared" si="0"/>
        <v>4.7032622783999998E-4</v>
      </c>
    </row>
    <row r="39" spans="5:13">
      <c r="E39" s="1117" t="s">
        <v>1511</v>
      </c>
      <c r="F39" s="1128">
        <v>2024</v>
      </c>
      <c r="G39" s="1128" t="s">
        <v>1566</v>
      </c>
      <c r="H39" s="1129">
        <v>298.69560000000001</v>
      </c>
      <c r="I39" s="1129">
        <v>1.31544E-2</v>
      </c>
      <c r="J39" s="1129">
        <v>1.8144000000000001E-3</v>
      </c>
      <c r="K39" s="1129">
        <v>299.54927520000001</v>
      </c>
      <c r="L39" s="1130">
        <f>H39+(I39*GWPs!$C$4)+(J39*GWPs!$C$5)</f>
        <v>299.58293232</v>
      </c>
      <c r="M39" s="1131">
        <f t="shared" si="0"/>
        <v>2.9958293232000002E-4</v>
      </c>
    </row>
    <row r="40" spans="5:13">
      <c r="E40" s="1117" t="s">
        <v>1512</v>
      </c>
      <c r="F40" s="1128">
        <v>2024</v>
      </c>
      <c r="G40" s="1128" t="s">
        <v>1567</v>
      </c>
      <c r="H40" s="1129">
        <v>168.1703856</v>
      </c>
      <c r="I40" s="1129">
        <v>6.8040000000000002E-3</v>
      </c>
      <c r="J40" s="1129">
        <v>9.0720000000000004E-4</v>
      </c>
      <c r="K40" s="1129">
        <v>168.5972232</v>
      </c>
      <c r="L40" s="1130">
        <f>H40+(I40*GWPs!$C$4)+(J40*GWPs!$C$5)</f>
        <v>168.62081040000001</v>
      </c>
      <c r="M40" s="1131">
        <f t="shared" si="0"/>
        <v>1.686208104E-4</v>
      </c>
    </row>
    <row r="41" spans="5:13">
      <c r="E41" s="1117" t="s">
        <v>1513</v>
      </c>
      <c r="F41" s="1128">
        <v>2024</v>
      </c>
      <c r="G41" s="1128" t="s">
        <v>1568</v>
      </c>
      <c r="H41" s="1129">
        <v>297.12614400000001</v>
      </c>
      <c r="I41" s="1129">
        <v>1.4968800000000001E-2</v>
      </c>
      <c r="J41" s="1129">
        <v>1.8144000000000001E-3</v>
      </c>
      <c r="K41" s="1129">
        <v>298.10047680000002</v>
      </c>
      <c r="L41" s="1130">
        <f>H41+(I41*GWPs!$C$4)+(J41*GWPs!$C$5)</f>
        <v>298.06754544</v>
      </c>
      <c r="M41" s="1131">
        <f t="shared" si="0"/>
        <v>2.9806754544000003E-4</v>
      </c>
    </row>
    <row r="42" spans="5:13">
      <c r="E42" s="1117" t="s">
        <v>3924</v>
      </c>
      <c r="F42" s="1128">
        <v>2024</v>
      </c>
      <c r="G42" s="1128" t="s">
        <v>3923</v>
      </c>
      <c r="H42" s="1129">
        <v>723.25431360000005</v>
      </c>
      <c r="I42" s="1129">
        <v>3.8556E-2</v>
      </c>
      <c r="J42" s="1129">
        <v>6.3504E-3</v>
      </c>
      <c r="K42" s="1129">
        <v>726.09203520000005</v>
      </c>
      <c r="L42" s="1130">
        <f>H42+(I42*GWPs!$C$4)+(J42*GWPs!$C$5)</f>
        <v>726.13694160000011</v>
      </c>
      <c r="M42" s="1131">
        <f t="shared" si="0"/>
        <v>7.2613694160000007E-4</v>
      </c>
    </row>
    <row r="43" spans="5:13">
      <c r="E43" s="1117" t="s">
        <v>1514</v>
      </c>
      <c r="F43" s="1128">
        <v>2024</v>
      </c>
      <c r="G43" s="1128" t="s">
        <v>1569</v>
      </c>
      <c r="H43" s="1129">
        <v>372.41058959999998</v>
      </c>
      <c r="I43" s="1129">
        <v>7.2576000000000003E-3</v>
      </c>
      <c r="J43" s="1129">
        <v>9.0720000000000004E-4</v>
      </c>
      <c r="K43" s="1129">
        <v>372.8238192</v>
      </c>
      <c r="L43" s="1130">
        <f>H43+(I43*GWPs!$C$4)+(J43*GWPs!$C$5)</f>
        <v>372.87453167999996</v>
      </c>
      <c r="M43" s="1131">
        <f t="shared" si="0"/>
        <v>3.7287453167999998E-4</v>
      </c>
    </row>
    <row r="44" spans="5:13">
      <c r="E44" s="1117" t="s">
        <v>1515</v>
      </c>
      <c r="F44" s="1128">
        <v>2024</v>
      </c>
      <c r="G44" s="1128" t="s">
        <v>1570</v>
      </c>
      <c r="H44" s="1129">
        <v>269.7541056</v>
      </c>
      <c r="I44" s="1129">
        <v>2.4040800000000001E-2</v>
      </c>
      <c r="J44" s="1129">
        <v>3.6288000000000002E-3</v>
      </c>
      <c r="K44" s="1129">
        <v>271.42290000000003</v>
      </c>
      <c r="L44" s="1130">
        <f>H44+(I44*GWPs!$C$4)+(J44*GWPs!$C$5)</f>
        <v>271.46118384000005</v>
      </c>
      <c r="M44" s="1131">
        <f t="shared" si="0"/>
        <v>2.7146118384000005E-4</v>
      </c>
    </row>
    <row r="45" spans="5:13">
      <c r="E45" s="1117" t="s">
        <v>1516</v>
      </c>
      <c r="F45" s="1128">
        <v>2024</v>
      </c>
      <c r="G45" s="1128" t="s">
        <v>1571</v>
      </c>
      <c r="H45" s="1129">
        <v>138.98031839999999</v>
      </c>
      <c r="I45" s="1129">
        <v>9.5256000000000004E-3</v>
      </c>
      <c r="J45" s="1129">
        <v>1.3607999999999999E-3</v>
      </c>
      <c r="K45" s="1129">
        <v>139.62034800000001</v>
      </c>
      <c r="L45" s="1130">
        <f>H45+(I45*GWPs!$C$4)+(J45*GWPs!$C$5)</f>
        <v>139.63567967999998</v>
      </c>
      <c r="M45" s="1131">
        <f t="shared" si="0"/>
        <v>1.3963567967999999E-4</v>
      </c>
    </row>
    <row r="46" spans="5:13">
      <c r="E46" s="1117" t="s">
        <v>1517</v>
      </c>
      <c r="F46" s="1128">
        <v>2024</v>
      </c>
      <c r="G46" s="1128" t="s">
        <v>1572</v>
      </c>
      <c r="H46" s="1129">
        <v>328.09160159999999</v>
      </c>
      <c r="I46" s="1129">
        <v>2.9030400000000001E-2</v>
      </c>
      <c r="J46" s="1129">
        <v>4.0823999999999999E-3</v>
      </c>
      <c r="K46" s="1129">
        <v>330.08472</v>
      </c>
      <c r="L46" s="1130">
        <f>H46+(I46*GWPs!$C$4)+(J46*GWPs!$C$5)</f>
        <v>330.07120272000003</v>
      </c>
      <c r="M46" s="1131">
        <f t="shared" si="0"/>
        <v>3.3007120272000005E-4</v>
      </c>
    </row>
    <row r="47" spans="5:13">
      <c r="E47" s="1117" t="s">
        <v>1518</v>
      </c>
      <c r="F47" s="1128">
        <v>2024</v>
      </c>
      <c r="G47" s="1128" t="s">
        <v>1573</v>
      </c>
      <c r="H47" s="1129">
        <v>334.96091999999999</v>
      </c>
      <c r="I47" s="1129">
        <v>1.8597599999999999E-2</v>
      </c>
      <c r="J47" s="1129">
        <v>2.7215999999999998E-3</v>
      </c>
      <c r="K47" s="1129">
        <v>336.206052</v>
      </c>
      <c r="L47" s="1130">
        <f>H47+(I47*GWPs!$C$4)+(J47*GWPs!$C$5)</f>
        <v>336.25812528</v>
      </c>
      <c r="M47" s="1131">
        <f t="shared" si="0"/>
        <v>3.3625812528E-4</v>
      </c>
    </row>
    <row r="48" spans="5:13">
      <c r="E48" s="1117" t="s">
        <v>1519</v>
      </c>
      <c r="F48" s="1128">
        <v>2024</v>
      </c>
      <c r="G48" s="1128" t="s">
        <v>1574</v>
      </c>
      <c r="H48" s="1129">
        <v>603.32564879999995</v>
      </c>
      <c r="I48" s="1129">
        <v>5.67E-2</v>
      </c>
      <c r="J48" s="1129">
        <v>8.1647999999999998E-3</v>
      </c>
      <c r="K48" s="1129">
        <v>607.22343360000002</v>
      </c>
      <c r="L48" s="1130">
        <f>H48+(I48*GWPs!$C$4)+(J48*GWPs!$C$5)</f>
        <v>607.2442992</v>
      </c>
      <c r="M48" s="1131">
        <f t="shared" si="0"/>
        <v>6.0724429920000001E-4</v>
      </c>
    </row>
    <row r="49" spans="5:13">
      <c r="E49" s="1117" t="s">
        <v>1521</v>
      </c>
      <c r="F49" s="1128">
        <v>2024</v>
      </c>
      <c r="G49" s="1128" t="s">
        <v>1575</v>
      </c>
      <c r="H49" s="1129">
        <v>264.42657359999998</v>
      </c>
      <c r="I49" s="1129">
        <v>1.9051200000000001E-2</v>
      </c>
      <c r="J49" s="1129">
        <v>2.2680000000000001E-3</v>
      </c>
      <c r="K49" s="1129">
        <v>265.66853040000001</v>
      </c>
      <c r="L49" s="1130">
        <f>H49+(I49*GWPs!$C$4)+(J49*GWPs!$C$5)</f>
        <v>265.61346335999997</v>
      </c>
      <c r="M49" s="1131">
        <f t="shared" si="0"/>
        <v>2.6561346335999999E-4</v>
      </c>
    </row>
    <row r="50" spans="5:13">
      <c r="E50" s="1117" t="s">
        <v>1520</v>
      </c>
      <c r="F50" s="1128">
        <v>2024</v>
      </c>
      <c r="G50" s="1128" t="s">
        <v>1576</v>
      </c>
      <c r="H50" s="1129">
        <v>21.1767696</v>
      </c>
      <c r="I50" s="1129">
        <v>7.5751200000000005E-2</v>
      </c>
      <c r="J50" s="1129">
        <v>9.9792000000000006E-3</v>
      </c>
      <c r="K50" s="1129">
        <v>26.162287200000002</v>
      </c>
      <c r="L50" s="1130">
        <f>H50+(I50*GWPs!$C$4)+(J50*GWPs!$C$5)</f>
        <v>26.158476959999998</v>
      </c>
      <c r="M50" s="1131">
        <f t="shared" si="0"/>
        <v>2.6158476959999998E-5</v>
      </c>
    </row>
    <row r="51" spans="5:13">
      <c r="E51" s="1117" t="s">
        <v>1522</v>
      </c>
      <c r="F51" s="1128">
        <v>2024</v>
      </c>
      <c r="G51" s="1128" t="s">
        <v>1577</v>
      </c>
      <c r="H51" s="1129">
        <v>103.1363928</v>
      </c>
      <c r="I51" s="1129">
        <v>8.1647999999999998E-3</v>
      </c>
      <c r="J51" s="1129">
        <v>9.0720000000000004E-4</v>
      </c>
      <c r="K51" s="1129">
        <v>103.6847952</v>
      </c>
      <c r="L51" s="1130">
        <f>H51+(I51*GWPs!$C$4)+(J51*GWPs!$C$5)</f>
        <v>103.62736944</v>
      </c>
      <c r="M51" s="1131">
        <f t="shared" si="0"/>
        <v>1.0362736944E-4</v>
      </c>
    </row>
    <row r="52" spans="5:13">
      <c r="E52" s="1117" t="s">
        <v>1524</v>
      </c>
      <c r="F52" s="1128">
        <v>2024</v>
      </c>
      <c r="G52" s="1128" t="s">
        <v>1578</v>
      </c>
      <c r="H52" s="1129">
        <v>506.39586480000003</v>
      </c>
      <c r="I52" s="1129">
        <v>4.1731200000000003E-2</v>
      </c>
      <c r="J52" s="1129">
        <v>5.8967999999999998E-3</v>
      </c>
      <c r="K52" s="1129">
        <v>509.25898799999999</v>
      </c>
      <c r="L52" s="1130">
        <f>H52+(I52*GWPs!$C$4)+(J52*GWPs!$C$5)</f>
        <v>509.24928096000002</v>
      </c>
      <c r="M52" s="1131">
        <f t="shared" si="0"/>
        <v>5.0924928095999998E-4</v>
      </c>
    </row>
    <row r="53" spans="5:13">
      <c r="E53" s="1117" t="s">
        <v>1523</v>
      </c>
      <c r="F53" s="1128">
        <v>2024</v>
      </c>
      <c r="G53" s="1128" t="s">
        <v>1579</v>
      </c>
      <c r="H53" s="1129">
        <v>876.12749280000003</v>
      </c>
      <c r="I53" s="1129">
        <v>9.7977599999999998E-2</v>
      </c>
      <c r="J53" s="1129">
        <v>1.40616E-2</v>
      </c>
      <c r="K53" s="1129">
        <v>882.92967839999994</v>
      </c>
      <c r="L53" s="1130">
        <f>H53+(I53*GWPs!$C$4)+(J53*GWPs!$C$5)</f>
        <v>882.88604208000004</v>
      </c>
      <c r="M53" s="1131">
        <f t="shared" si="0"/>
        <v>8.8288604208000001E-4</v>
      </c>
    </row>
    <row r="54" spans="5:13">
      <c r="E54" s="1117" t="s">
        <v>1525</v>
      </c>
      <c r="F54" s="1128">
        <v>2024</v>
      </c>
      <c r="G54" s="1128" t="s">
        <v>1580</v>
      </c>
      <c r="H54" s="1129">
        <v>753.32481840000003</v>
      </c>
      <c r="I54" s="1129">
        <v>7.6204800000000003E-2</v>
      </c>
      <c r="J54" s="1129">
        <v>1.0886399999999999E-2</v>
      </c>
      <c r="K54" s="1129">
        <v>758.6115264</v>
      </c>
      <c r="L54" s="1130">
        <f>H54+(I54*GWPs!$C$4)+(J54*GWPs!$C$5)</f>
        <v>758.56770863999998</v>
      </c>
      <c r="M54" s="1131">
        <f t="shared" si="0"/>
        <v>7.5856770864000001E-4</v>
      </c>
    </row>
  </sheetData>
  <sheetProtection sheet="1" objects="1" scenarios="1" selectLockedCells="1" selectUnlockedCells="1"/>
  <hyperlinks>
    <hyperlink ref="P5" r:id="rId1" xr:uid="{770F2A76-7F4D-4258-B627-0C6E148CF05A}"/>
    <hyperlink ref="P7" r:id="rId2" xr:uid="{A9099D19-91AB-4E9B-91CA-835E92F2136B}"/>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C4B101-26DE-40FF-85B2-96DCEDA8CEB4}">
  <sheetPr codeName="Sheet29"/>
  <dimension ref="A1:Q46"/>
  <sheetViews>
    <sheetView zoomScale="90" zoomScaleNormal="90" workbookViewId="0">
      <selection sqref="A1:XFD1048576"/>
    </sheetView>
  </sheetViews>
  <sheetFormatPr defaultColWidth="8.875" defaultRowHeight="14.25"/>
  <cols>
    <col min="1" max="1" width="8.875" style="30"/>
    <col min="2" max="2" width="23" style="30" customWidth="1"/>
    <col min="3" max="3" width="10.875" style="30" bestFit="1" customWidth="1"/>
    <col min="4" max="4" width="8.5" style="30" customWidth="1"/>
    <col min="5" max="5" width="12" style="30" customWidth="1"/>
    <col min="6" max="10" width="8.875" style="30"/>
    <col min="11" max="11" width="20.375" style="30" customWidth="1"/>
    <col min="12" max="12" width="14.5" style="30" bestFit="1" customWidth="1"/>
    <col min="13" max="13" width="13.75" style="30" customWidth="1"/>
    <col min="14" max="14" width="13.5" style="30" customWidth="1"/>
    <col min="15" max="15" width="15.125" style="30" customWidth="1"/>
    <col min="16" max="16" width="12.25" style="30" customWidth="1"/>
    <col min="17" max="16384" width="8.875" style="30"/>
  </cols>
  <sheetData>
    <row r="1" spans="1:17" ht="15.75">
      <c r="A1" s="1134" t="s">
        <v>1593</v>
      </c>
      <c r="B1" s="71"/>
      <c r="C1" s="71"/>
      <c r="D1" s="71"/>
      <c r="E1" s="71"/>
      <c r="F1" s="71"/>
      <c r="G1" s="71"/>
      <c r="H1" s="71"/>
      <c r="I1" s="71"/>
    </row>
    <row r="2" spans="1:17" ht="15">
      <c r="A2" s="71"/>
      <c r="B2" s="71"/>
      <c r="C2" s="71"/>
      <c r="D2" s="71"/>
      <c r="E2" s="71"/>
      <c r="F2" s="71"/>
      <c r="G2" s="71"/>
      <c r="H2" s="71"/>
      <c r="I2" s="71"/>
    </row>
    <row r="3" spans="1:17" ht="16.5" customHeight="1">
      <c r="A3" s="1135" t="s">
        <v>1594</v>
      </c>
      <c r="B3" s="71"/>
      <c r="C3" s="71"/>
      <c r="D3" s="71"/>
      <c r="E3" s="71"/>
      <c r="F3" s="71"/>
      <c r="G3" s="71"/>
      <c r="H3" s="71"/>
      <c r="I3" s="71"/>
    </row>
    <row r="4" spans="1:17" ht="15" customHeight="1">
      <c r="A4" s="1136" t="s">
        <v>1593</v>
      </c>
      <c r="B4" s="71"/>
      <c r="C4" s="71"/>
      <c r="D4" s="71"/>
      <c r="E4" s="71"/>
      <c r="F4" s="71"/>
      <c r="G4" s="71"/>
      <c r="H4" s="71"/>
      <c r="I4" s="71"/>
      <c r="J4" s="1137"/>
      <c r="K4" s="1138" t="s">
        <v>1601</v>
      </c>
    </row>
    <row r="5" spans="1:17" ht="16.5" thickBot="1">
      <c r="A5" s="71"/>
      <c r="B5" s="1139"/>
      <c r="C5" s="1139"/>
      <c r="D5" s="1140"/>
      <c r="E5" s="1140"/>
      <c r="F5" s="1140"/>
      <c r="G5" s="1140"/>
      <c r="H5" s="1140"/>
      <c r="I5" s="1140"/>
      <c r="J5" s="1141"/>
      <c r="P5" s="854"/>
    </row>
    <row r="6" spans="1:17" ht="38.25" customHeight="1" thickBot="1">
      <c r="A6" s="71"/>
      <c r="B6" s="1142"/>
      <c r="C6" s="1143" t="s">
        <v>4108</v>
      </c>
      <c r="D6" s="1142"/>
      <c r="E6" s="1142"/>
      <c r="F6" s="1142"/>
      <c r="G6" s="1142"/>
      <c r="H6" s="1142"/>
      <c r="I6" s="1144"/>
      <c r="K6" s="1145" t="s">
        <v>229</v>
      </c>
      <c r="L6" s="1145" t="s">
        <v>0</v>
      </c>
      <c r="M6" s="1146" t="s">
        <v>249</v>
      </c>
      <c r="N6" s="1147" t="s">
        <v>1603</v>
      </c>
      <c r="O6" s="1148" t="s">
        <v>1604</v>
      </c>
      <c r="P6" s="1148" t="s">
        <v>1605</v>
      </c>
    </row>
    <row r="7" spans="1:17" ht="16.5" thickBot="1">
      <c r="A7" s="71"/>
      <c r="B7" s="1149" t="s">
        <v>1595</v>
      </c>
      <c r="C7" s="1150">
        <v>23.8</v>
      </c>
      <c r="D7" s="71"/>
      <c r="E7" s="71"/>
      <c r="F7" s="71"/>
      <c r="G7" s="71"/>
      <c r="H7" s="71"/>
      <c r="I7" s="71"/>
      <c r="K7" s="1577" t="s">
        <v>10</v>
      </c>
      <c r="L7" s="1146" t="s">
        <v>1607</v>
      </c>
      <c r="M7" s="1151">
        <v>2562.5744107382552</v>
      </c>
      <c r="N7" s="1151">
        <v>2557.5300000000002</v>
      </c>
      <c r="O7" s="1151">
        <v>3.8528000000000002</v>
      </c>
      <c r="P7" s="1151">
        <v>1.1916107382550336</v>
      </c>
    </row>
    <row r="8" spans="1:17" ht="16.5" thickBot="1">
      <c r="A8" s="71"/>
      <c r="B8" s="1152" t="s">
        <v>1596</v>
      </c>
      <c r="C8" s="1150">
        <v>28.8</v>
      </c>
      <c r="D8" s="71"/>
      <c r="E8" s="71"/>
      <c r="F8" s="71"/>
      <c r="G8" s="71"/>
      <c r="H8" s="71"/>
      <c r="I8" s="71"/>
      <c r="K8" s="1578"/>
      <c r="L8" s="1146" t="s">
        <v>253</v>
      </c>
      <c r="M8" s="1151">
        <v>2.0383903100671139</v>
      </c>
      <c r="N8" s="1153">
        <v>2.03437</v>
      </c>
      <c r="O8" s="1153">
        <v>3.0688E-3</v>
      </c>
      <c r="P8" s="1153">
        <v>9.5151006711409393E-4</v>
      </c>
    </row>
    <row r="9" spans="1:17" ht="16.5" thickBot="1">
      <c r="A9" s="71"/>
      <c r="B9" s="1152" t="s">
        <v>1597</v>
      </c>
      <c r="C9" s="1150">
        <v>17.399999999999999</v>
      </c>
      <c r="D9" s="71"/>
      <c r="E9" s="71"/>
      <c r="F9" s="71"/>
      <c r="G9" s="71"/>
      <c r="H9" s="71"/>
      <c r="I9" s="71"/>
      <c r="K9" s="1578"/>
      <c r="L9" s="1146" t="s">
        <v>1609</v>
      </c>
      <c r="M9" s="1151">
        <v>0.20267141879194631</v>
      </c>
      <c r="N9" s="1154">
        <v>0.20226</v>
      </c>
      <c r="O9" s="1154">
        <v>3.1359999999999998E-4</v>
      </c>
      <c r="P9" s="1154">
        <v>9.7818791946308734E-5</v>
      </c>
    </row>
    <row r="10" spans="1:17" ht="16.5" thickBot="1">
      <c r="A10" s="71"/>
      <c r="B10" s="1155" t="s">
        <v>1420</v>
      </c>
      <c r="C10" s="1150">
        <v>14.9</v>
      </c>
      <c r="D10" s="71"/>
      <c r="E10" s="71"/>
      <c r="F10" s="71"/>
      <c r="G10" s="71"/>
      <c r="H10" s="71"/>
      <c r="I10" s="71"/>
      <c r="K10" s="1579"/>
      <c r="L10" s="1146" t="s">
        <v>237</v>
      </c>
      <c r="M10" s="1151">
        <v>0.18292892617449666</v>
      </c>
      <c r="N10" s="1153">
        <v>0.18256</v>
      </c>
      <c r="O10" s="1153">
        <v>2.8000000000000003E-4</v>
      </c>
      <c r="P10" s="1153">
        <v>8.8926174496644302E-5</v>
      </c>
      <c r="Q10" s="852" t="s">
        <v>4107</v>
      </c>
    </row>
    <row r="11" spans="1:17" ht="15" customHeight="1" thickBot="1">
      <c r="A11" s="71"/>
      <c r="B11" s="1155" t="s">
        <v>1416</v>
      </c>
      <c r="C11" s="1150">
        <v>18.899999999999999</v>
      </c>
      <c r="D11" s="71"/>
      <c r="E11" s="71"/>
      <c r="F11" s="71"/>
      <c r="G11" s="71"/>
      <c r="H11" s="71"/>
      <c r="I11" s="71"/>
      <c r="K11" s="1580" t="s">
        <v>1614</v>
      </c>
      <c r="L11" s="1146" t="s">
        <v>1607</v>
      </c>
      <c r="M11" s="1151">
        <v>2581.9844107382551</v>
      </c>
      <c r="N11" s="1151">
        <v>2576.94</v>
      </c>
      <c r="O11" s="1151">
        <v>3.8528000000000002</v>
      </c>
      <c r="P11" s="1151">
        <v>1.1916107382550336</v>
      </c>
    </row>
    <row r="12" spans="1:17" ht="15.75" thickBot="1">
      <c r="A12" s="71"/>
      <c r="B12" s="1136"/>
      <c r="C12" s="71"/>
      <c r="D12" s="71"/>
      <c r="E12" s="71"/>
      <c r="F12" s="71"/>
      <c r="G12" s="71"/>
      <c r="H12" s="71"/>
      <c r="I12" s="71"/>
      <c r="K12" s="1581"/>
      <c r="L12" s="1146" t="s">
        <v>253</v>
      </c>
      <c r="M12" s="1151">
        <v>2.0538303100671138</v>
      </c>
      <c r="N12" s="1154">
        <v>2.0498099999999999</v>
      </c>
      <c r="O12" s="1154">
        <v>3.0688E-3</v>
      </c>
      <c r="P12" s="1154">
        <v>9.5151006711409393E-4</v>
      </c>
    </row>
    <row r="13" spans="1:17" ht="16.5" thickBot="1">
      <c r="A13" s="1135" t="s">
        <v>1598</v>
      </c>
      <c r="B13" s="71"/>
      <c r="C13" s="71"/>
      <c r="D13" s="71"/>
      <c r="E13" s="71"/>
      <c r="F13" s="71"/>
      <c r="G13" s="71"/>
      <c r="H13" s="71"/>
      <c r="I13" s="71"/>
      <c r="K13" s="1581"/>
      <c r="L13" s="1146" t="s">
        <v>1609</v>
      </c>
      <c r="M13" s="1151">
        <v>0.20420141879194631</v>
      </c>
      <c r="N13" s="1154">
        <v>0.20379</v>
      </c>
      <c r="O13" s="1154">
        <v>3.1359999999999998E-4</v>
      </c>
      <c r="P13" s="1154">
        <v>9.7818791946308734E-5</v>
      </c>
    </row>
    <row r="14" spans="1:17" ht="15.75" thickBot="1">
      <c r="A14" s="1136" t="s">
        <v>1593</v>
      </c>
      <c r="B14" s="71"/>
      <c r="C14" s="71"/>
      <c r="D14" s="71"/>
      <c r="E14" s="71"/>
      <c r="F14" s="71"/>
      <c r="G14" s="71"/>
      <c r="H14" s="71"/>
      <c r="I14" s="71"/>
      <c r="K14" s="1582"/>
      <c r="L14" s="1146" t="s">
        <v>237</v>
      </c>
      <c r="M14" s="1151">
        <v>0.18431892617449666</v>
      </c>
      <c r="N14" s="1154">
        <v>0.18395</v>
      </c>
      <c r="O14" s="1154">
        <v>2.8000000000000003E-4</v>
      </c>
      <c r="P14" s="1154">
        <v>8.8926174496644302E-5</v>
      </c>
    </row>
    <row r="15" spans="1:17" ht="16.5" thickBot="1">
      <c r="A15" s="71"/>
      <c r="B15" s="1156"/>
      <c r="C15" s="1140"/>
      <c r="D15" s="1140"/>
      <c r="E15" s="1140"/>
      <c r="F15" s="1140"/>
      <c r="G15" s="71"/>
      <c r="H15" s="71"/>
      <c r="I15" s="71"/>
      <c r="K15" s="1157"/>
      <c r="M15" s="1158"/>
      <c r="N15" s="1159"/>
      <c r="O15" s="1159"/>
      <c r="P15" s="1160"/>
    </row>
    <row r="16" spans="1:17" ht="36" thickBot="1">
      <c r="A16" s="71"/>
      <c r="B16" s="71"/>
      <c r="C16" s="1161" t="s">
        <v>1599</v>
      </c>
      <c r="D16" s="1143" t="s">
        <v>1600</v>
      </c>
      <c r="E16" s="71"/>
      <c r="F16" s="71"/>
      <c r="G16" s="71"/>
      <c r="H16" s="71"/>
      <c r="I16" s="71"/>
      <c r="M16" s="1147" t="s">
        <v>1615</v>
      </c>
      <c r="N16" s="1147" t="s">
        <v>1616</v>
      </c>
      <c r="O16" s="1148" t="s">
        <v>1617</v>
      </c>
      <c r="P16" s="1148" t="s">
        <v>1618</v>
      </c>
    </row>
    <row r="17" spans="1:17" ht="16.5" thickBot="1">
      <c r="A17" s="71"/>
      <c r="B17" s="1149" t="s">
        <v>1595</v>
      </c>
      <c r="C17" s="1162">
        <v>59.1</v>
      </c>
      <c r="D17" s="1163">
        <f>C17/$G$18</f>
        <v>0.61116856256463292</v>
      </c>
      <c r="E17" s="1164"/>
      <c r="F17" s="71"/>
      <c r="G17" s="71"/>
      <c r="H17" s="71"/>
      <c r="I17" s="71"/>
      <c r="K17" s="1146" t="s">
        <v>10</v>
      </c>
      <c r="L17" s="1146" t="s">
        <v>11</v>
      </c>
      <c r="M17" s="1165">
        <f>N17+(O17*GWPs!$C$4)+(P17*GWPs!$C$5)</f>
        <v>5.6155588102893121</v>
      </c>
      <c r="N17" s="1153">
        <f>N8/$L$32*$L$31</f>
        <v>5.6038619397845917</v>
      </c>
      <c r="O17" s="1153">
        <f>(O8/$L$32*$L$31)/GWPs!$O$5</f>
        <v>3.0190342395945241E-4</v>
      </c>
      <c r="P17" s="1153">
        <f>(P8/$L$32*$L$31)/GWPs!$O$6</f>
        <v>9.8906537389351766E-6</v>
      </c>
      <c r="Q17" s="30" t="s">
        <v>1619</v>
      </c>
    </row>
    <row r="18" spans="1:17" ht="16.5" thickBot="1">
      <c r="A18" s="71"/>
      <c r="B18" s="1152" t="s">
        <v>1596</v>
      </c>
      <c r="C18" s="1162">
        <v>77.900000000000006</v>
      </c>
      <c r="D18" s="1163">
        <f t="shared" ref="D18:D21" si="0">C18/$G$18</f>
        <v>0.80558428128231652</v>
      </c>
      <c r="E18" s="1164"/>
      <c r="F18" s="71" t="s">
        <v>4103</v>
      </c>
      <c r="G18" s="71">
        <v>96.7</v>
      </c>
      <c r="H18" s="1166" t="s">
        <v>4104</v>
      </c>
      <c r="I18" s="71"/>
      <c r="K18" s="1146" t="s">
        <v>10</v>
      </c>
      <c r="L18" s="1146" t="s">
        <v>11</v>
      </c>
      <c r="M18" s="1167">
        <f>N18+(O18*GWPs!$C$4)+(P18*GWPs!$C$5)</f>
        <v>5.3611178569786055</v>
      </c>
      <c r="N18" s="1153">
        <f>N10*Conversions!$D$30</f>
        <v>5.3503056976150605</v>
      </c>
      <c r="O18" s="1153">
        <f>O10*Conversions!$D$30/GWPs!$C$4</f>
        <v>2.75368803146491E-4</v>
      </c>
      <c r="P18" s="1153">
        <f>P10*Conversions!$D$30/GWPs!$C$5</f>
        <v>9.5464067024882422E-6</v>
      </c>
      <c r="Q18" s="30" t="s">
        <v>1620</v>
      </c>
    </row>
    <row r="19" spans="1:17" ht="16.5" thickBot="1">
      <c r="A19" s="71"/>
      <c r="B19" s="1152" t="s">
        <v>1597</v>
      </c>
      <c r="C19" s="1162">
        <v>27.8</v>
      </c>
      <c r="D19" s="1163">
        <f t="shared" si="0"/>
        <v>0.2874870734229576</v>
      </c>
      <c r="E19" s="1164"/>
      <c r="F19" s="71"/>
      <c r="G19" s="71"/>
      <c r="H19" s="71"/>
      <c r="I19" s="71"/>
      <c r="P19" s="1157"/>
    </row>
    <row r="20" spans="1:17" ht="33.75" thickBot="1">
      <c r="A20" s="71"/>
      <c r="B20" s="1155" t="s">
        <v>1420</v>
      </c>
      <c r="C20" s="1162">
        <v>19.2</v>
      </c>
      <c r="D20" s="1163">
        <f t="shared" si="0"/>
        <v>0.19855222337125128</v>
      </c>
      <c r="E20" s="1164"/>
      <c r="F20" s="71"/>
      <c r="G20" s="71"/>
      <c r="H20" s="71"/>
      <c r="I20" s="71"/>
      <c r="K20" s="854"/>
      <c r="M20" s="1147" t="s">
        <v>1621</v>
      </c>
      <c r="O20" s="1147" t="s">
        <v>4099</v>
      </c>
    </row>
    <row r="21" spans="1:17" ht="32.25" thickBot="1">
      <c r="A21" s="71"/>
      <c r="B21" s="1155" t="s">
        <v>1416</v>
      </c>
      <c r="C21" s="1162">
        <v>31.4</v>
      </c>
      <c r="D21" s="1163">
        <f t="shared" si="0"/>
        <v>0.32471561530506721</v>
      </c>
      <c r="E21" s="71"/>
      <c r="F21" s="71"/>
      <c r="G21" s="71"/>
      <c r="H21" s="71"/>
      <c r="I21" s="71"/>
      <c r="K21" s="1580" t="s">
        <v>10</v>
      </c>
      <c r="L21" s="1146" t="s">
        <v>1607</v>
      </c>
      <c r="M21" s="1168">
        <v>423.16368</v>
      </c>
    </row>
    <row r="22" spans="1:17" ht="15.75" thickBot="1">
      <c r="A22" s="71"/>
      <c r="B22" s="71"/>
      <c r="C22" s="71"/>
      <c r="D22" s="71"/>
      <c r="E22" s="71"/>
      <c r="F22" s="71"/>
      <c r="G22" s="71"/>
      <c r="H22" s="71"/>
      <c r="I22" s="71"/>
      <c r="K22" s="1581"/>
      <c r="L22" s="1146" t="s">
        <v>253</v>
      </c>
      <c r="M22" s="1169">
        <v>0.33660000000000001</v>
      </c>
      <c r="N22" s="1146" t="s">
        <v>11</v>
      </c>
      <c r="O22" s="1153">
        <f>M22/$L$32*$L$31</f>
        <v>0.92719609949590953</v>
      </c>
      <c r="Q22" s="30" t="s">
        <v>1619</v>
      </c>
    </row>
    <row r="23" spans="1:17" ht="15.75" thickBot="1">
      <c r="A23" s="71"/>
      <c r="B23" s="71"/>
      <c r="C23" s="71"/>
      <c r="D23" s="71"/>
      <c r="E23" s="71"/>
      <c r="F23" s="71"/>
      <c r="G23" s="71"/>
      <c r="H23" s="71"/>
      <c r="I23" s="71"/>
      <c r="K23" s="1581"/>
      <c r="L23" s="1146" t="s">
        <v>1609</v>
      </c>
      <c r="M23" s="1168">
        <v>3.347E-2</v>
      </c>
    </row>
    <row r="24" spans="1:17" ht="15.75" thickBot="1">
      <c r="A24" s="71"/>
      <c r="B24" s="71"/>
      <c r="C24" s="71"/>
      <c r="D24" s="71"/>
      <c r="E24" s="71"/>
      <c r="F24" s="71"/>
      <c r="G24" s="71"/>
      <c r="H24" s="71"/>
      <c r="I24" s="71"/>
      <c r="K24" s="1582"/>
      <c r="L24" s="1146" t="s">
        <v>237</v>
      </c>
      <c r="M24" s="1168">
        <v>3.0210000000000001E-2</v>
      </c>
      <c r="N24" s="1146" t="s">
        <v>11</v>
      </c>
      <c r="O24" s="1170">
        <f>M24*Conversions!$D$30</f>
        <v>0.88536774279662023</v>
      </c>
      <c r="Q24" s="30" t="s">
        <v>1620</v>
      </c>
    </row>
    <row r="25" spans="1:17" ht="29.25" customHeight="1" thickBot="1">
      <c r="I25" s="71"/>
      <c r="K25" s="1580" t="s">
        <v>1614</v>
      </c>
      <c r="L25" s="1146" t="s">
        <v>1607</v>
      </c>
      <c r="M25" s="1168">
        <v>423.16368</v>
      </c>
    </row>
    <row r="26" spans="1:17" ht="15.75" thickBot="1">
      <c r="I26" s="71"/>
      <c r="K26" s="1581"/>
      <c r="L26" s="1146" t="s">
        <v>253</v>
      </c>
      <c r="M26" s="1168">
        <v>0.33660000000000001</v>
      </c>
    </row>
    <row r="27" spans="1:17" ht="15.75" thickBot="1">
      <c r="I27" s="71"/>
      <c r="K27" s="1581"/>
      <c r="L27" s="1146" t="s">
        <v>1609</v>
      </c>
      <c r="M27" s="1168">
        <v>3.347E-2</v>
      </c>
    </row>
    <row r="28" spans="1:17" ht="15.75" thickBot="1">
      <c r="I28" s="71"/>
      <c r="K28" s="1582"/>
      <c r="L28" s="1146" t="s">
        <v>237</v>
      </c>
      <c r="M28" s="1168">
        <v>3.0210000000000001E-2</v>
      </c>
    </row>
    <row r="29" spans="1:17" ht="15">
      <c r="I29" s="71"/>
    </row>
    <row r="30" spans="1:17" ht="15">
      <c r="I30" s="71"/>
    </row>
    <row r="31" spans="1:17" ht="15" customHeight="1">
      <c r="I31" s="71"/>
      <c r="K31" s="280" t="s">
        <v>1622</v>
      </c>
      <c r="L31" s="51">
        <v>100</v>
      </c>
      <c r="M31" s="30" t="s">
        <v>1623</v>
      </c>
    </row>
    <row r="32" spans="1:17" ht="15">
      <c r="I32" s="71"/>
      <c r="K32" s="280" t="s">
        <v>1624</v>
      </c>
      <c r="L32" s="51">
        <v>36.302999999999997</v>
      </c>
      <c r="M32" s="30" t="s">
        <v>1623</v>
      </c>
    </row>
    <row r="33" spans="1:11" ht="15">
      <c r="I33" s="71"/>
      <c r="K33" s="1138" t="s">
        <v>1625</v>
      </c>
    </row>
    <row r="36" spans="1:11" ht="23.25">
      <c r="A36" s="1171" t="s">
        <v>4106</v>
      </c>
    </row>
    <row r="38" spans="1:11" ht="15">
      <c r="A38" s="71" t="s">
        <v>1602</v>
      </c>
      <c r="B38" s="71"/>
      <c r="C38" s="71"/>
      <c r="D38" s="71"/>
      <c r="E38" s="71"/>
      <c r="F38" s="71"/>
      <c r="G38" s="71"/>
      <c r="H38" s="71"/>
    </row>
    <row r="39" spans="1:11" ht="45.75">
      <c r="A39" s="71" t="s">
        <v>4071</v>
      </c>
      <c r="B39" s="71"/>
      <c r="C39" s="1172" t="s">
        <v>4100</v>
      </c>
      <c r="D39" s="1172" t="s">
        <v>4101</v>
      </c>
      <c r="E39" s="1172" t="s">
        <v>4102</v>
      </c>
      <c r="F39" s="71"/>
      <c r="G39" s="71"/>
      <c r="H39" s="71"/>
    </row>
    <row r="40" spans="1:11" ht="15">
      <c r="A40" s="1173" t="s">
        <v>1606</v>
      </c>
      <c r="B40" s="71"/>
      <c r="C40" s="1174">
        <v>53.06</v>
      </c>
      <c r="D40" s="1174">
        <v>1</v>
      </c>
      <c r="E40" s="1174">
        <v>0.1</v>
      </c>
      <c r="F40" s="71"/>
      <c r="G40" s="71"/>
      <c r="H40" s="71"/>
    </row>
    <row r="41" spans="1:11" ht="15">
      <c r="A41" s="1136" t="s">
        <v>1608</v>
      </c>
      <c r="B41" s="71"/>
      <c r="C41" s="71"/>
      <c r="D41" s="71"/>
      <c r="E41" s="71"/>
      <c r="F41" s="71"/>
      <c r="G41" s="71"/>
      <c r="H41" s="71"/>
    </row>
    <row r="42" spans="1:11" ht="15">
      <c r="A42" s="71"/>
      <c r="B42" s="71"/>
      <c r="C42" s="71"/>
      <c r="D42" s="71"/>
      <c r="E42" s="71"/>
      <c r="F42" s="71"/>
      <c r="G42" s="71"/>
      <c r="H42" s="71"/>
    </row>
    <row r="43" spans="1:11" ht="63">
      <c r="A43" s="71"/>
      <c r="B43" s="71"/>
      <c r="C43" s="1172" t="s">
        <v>1610</v>
      </c>
      <c r="D43" s="1172" t="s">
        <v>1611</v>
      </c>
      <c r="E43" s="1172" t="s">
        <v>1612</v>
      </c>
      <c r="F43" s="71"/>
      <c r="G43" s="1175" t="s">
        <v>1613</v>
      </c>
      <c r="H43" s="71"/>
    </row>
    <row r="44" spans="1:11" ht="15.75">
      <c r="A44" s="71"/>
      <c r="B44" s="71"/>
      <c r="C44" s="1174">
        <f>C40/$G$46</f>
        <v>5.306</v>
      </c>
      <c r="D44" s="1174">
        <f>D40/$G$46</f>
        <v>0.1</v>
      </c>
      <c r="E44" s="1174">
        <f>E40/$G$46</f>
        <v>0.01</v>
      </c>
      <c r="F44" s="71"/>
      <c r="G44" s="1176">
        <f>C44+(D44/1000*GWPs!$C$4)+(E44/1000*GWPs!$C$5)</f>
        <v>5.3117099999999997</v>
      </c>
      <c r="H44" s="71"/>
    </row>
    <row r="45" spans="1:11" ht="15" customHeight="1">
      <c r="A45" s="71"/>
      <c r="B45" s="71"/>
      <c r="C45" s="71"/>
      <c r="D45" s="71"/>
      <c r="E45" s="71"/>
      <c r="F45" s="71"/>
      <c r="G45" s="71"/>
      <c r="H45" s="71"/>
    </row>
    <row r="46" spans="1:11" ht="15">
      <c r="A46" s="71"/>
      <c r="B46" s="71"/>
      <c r="C46" s="71"/>
      <c r="D46" s="71"/>
      <c r="E46" s="71"/>
      <c r="F46" s="1177" t="s">
        <v>4105</v>
      </c>
      <c r="G46" s="71">
        <v>10</v>
      </c>
      <c r="H46" s="71" t="s">
        <v>11</v>
      </c>
    </row>
  </sheetData>
  <sheetProtection algorithmName="SHA-512" hashValue="RrNqCFb59O1Y2Np2OVOQWk6jPsOLiIUhVOczouNc76pOZNcBz59r94hocdLpYJliEzJ/0USfahHp+vm4iBfHLQ==" saltValue="sUL0Qzt6Zqdi0HFux3x61A==" spinCount="100000" sheet="1" objects="1" scenarios="1" selectLockedCells="1" selectUnlockedCells="1"/>
  <mergeCells count="4">
    <mergeCell ref="K7:K10"/>
    <mergeCell ref="K11:K14"/>
    <mergeCell ref="K21:K24"/>
    <mergeCell ref="K25:K28"/>
  </mergeCells>
  <hyperlinks>
    <hyperlink ref="A41" r:id="rId1" xr:uid="{6903C0CB-882C-48FA-BA26-1B9B4412AC36}"/>
    <hyperlink ref="A4" r:id="rId2" display="https://www.eia.gov/consumption/commercial/data/2018/index.php?view=consumption" xr:uid="{E835CEAD-FBB4-49E3-B027-895CE15D9AC9}"/>
    <hyperlink ref="A14" r:id="rId3" display="https://www.eia.gov/consumption/commercial/data/2018/index.php?view=consumption" xr:uid="{0568FB2D-C431-4B51-8718-2DF8033458EE}"/>
    <hyperlink ref="A1" r:id="rId4" display="https://www.eia.gov/consumption/commercial/data/2018/index.php?view=consumption" xr:uid="{C729FF3F-DB7B-47B4-95CB-19BD5609777E}"/>
    <hyperlink ref="K4" r:id="rId5" xr:uid="{A088D760-16ED-429E-9654-2EF3CF83E664}"/>
    <hyperlink ref="K33" r:id="rId6" xr:uid="{8FFBD8A5-3D8E-4A9E-84CD-4CCC6B90B1A8}"/>
  </hyperlinks>
  <pageMargins left="0.7" right="0.7" top="0.75" bottom="0.75" header="0.3" footer="0.3"/>
  <pageSetup orientation="portrait" horizontalDpi="1200" verticalDpi="1200" r:id="rId7"/>
  <legacyDrawing r:id="rId8"/>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F7AE9-79A1-4243-B41E-698116F043BA}">
  <sheetPr codeName="Sheet46"/>
  <dimension ref="A1:AF284"/>
  <sheetViews>
    <sheetView zoomScale="85" zoomScaleNormal="85" workbookViewId="0">
      <selection sqref="A1:XFD1048576"/>
    </sheetView>
  </sheetViews>
  <sheetFormatPr defaultColWidth="28.5" defaultRowHeight="14.25"/>
  <cols>
    <col min="1" max="1" width="14.5" style="42" bestFit="1" customWidth="1"/>
    <col min="2" max="2" width="56.875" style="30" bestFit="1" customWidth="1"/>
    <col min="3" max="4" width="28.5" style="30"/>
    <col min="5" max="5" width="28.25" style="30" customWidth="1"/>
    <col min="6" max="7" width="28.5" style="30"/>
    <col min="8" max="8" width="12.75" style="30" bestFit="1" customWidth="1"/>
    <col min="9" max="9" width="14.125" style="42" bestFit="1" customWidth="1"/>
    <col min="10" max="10" width="14" style="42" bestFit="1" customWidth="1"/>
    <col min="11" max="11" width="14.125" style="42" bestFit="1" customWidth="1"/>
    <col min="12" max="12" width="13.75" style="42" bestFit="1" customWidth="1"/>
    <col min="13" max="13" width="14.625" style="30" customWidth="1"/>
    <col min="14" max="16" width="7.375" style="30" customWidth="1"/>
    <col min="17" max="17" width="20.25" style="30" bestFit="1" customWidth="1"/>
    <col min="18" max="18" width="20" style="30" customWidth="1"/>
    <col min="19" max="19" width="23.25" style="30" bestFit="1" customWidth="1"/>
    <col min="20" max="20" width="12.625" style="30" customWidth="1"/>
    <col min="21" max="22" width="9.75" style="30" customWidth="1"/>
    <col min="23" max="23" width="8" style="30" customWidth="1"/>
    <col min="24" max="24" width="4.125" style="30" customWidth="1"/>
    <col min="25" max="25" width="28.5" style="30"/>
    <col min="26" max="26" width="13.625" style="30" customWidth="1"/>
    <col min="27" max="28" width="15.125" style="30" customWidth="1"/>
    <col min="29" max="29" width="4.25" style="30" customWidth="1"/>
    <col min="30" max="30" width="28.5" style="30"/>
    <col min="31" max="31" width="3.375" style="30" customWidth="1"/>
    <col min="32" max="16384" width="28.5" style="30"/>
  </cols>
  <sheetData>
    <row r="1" spans="1:32" ht="15">
      <c r="Y1" s="1178" t="s">
        <v>1456</v>
      </c>
    </row>
    <row r="2" spans="1:32" ht="15.75" thickBot="1">
      <c r="C2" s="1060" t="s">
        <v>4241</v>
      </c>
      <c r="Y2" s="1178" t="s">
        <v>3931</v>
      </c>
      <c r="Z2" s="1179"/>
      <c r="AA2" s="1179"/>
      <c r="AB2" s="1179"/>
    </row>
    <row r="3" spans="1:32" ht="15.75" thickBot="1">
      <c r="R3" s="1180" t="s">
        <v>3929</v>
      </c>
      <c r="S3" s="1181" t="s">
        <v>1582</v>
      </c>
      <c r="Y3" s="1077" t="s">
        <v>1485</v>
      </c>
      <c r="Z3" s="1182"/>
      <c r="AA3" s="1182"/>
      <c r="AB3" s="1182"/>
    </row>
    <row r="4" spans="1:32" ht="77.25" thickBot="1">
      <c r="A4" s="1183" t="s">
        <v>1452</v>
      </c>
      <c r="B4" s="30" t="s">
        <v>266</v>
      </c>
      <c r="C4" s="1183" t="s">
        <v>1446</v>
      </c>
      <c r="D4" s="1183" t="s">
        <v>1447</v>
      </c>
      <c r="E4" s="1183" t="s">
        <v>1448</v>
      </c>
      <c r="F4" s="1183" t="s">
        <v>1449</v>
      </c>
      <c r="G4" s="1183" t="s">
        <v>1450</v>
      </c>
      <c r="H4" s="1183" t="s">
        <v>1451</v>
      </c>
      <c r="I4" s="1183" t="s">
        <v>1453</v>
      </c>
      <c r="J4" s="1183" t="s">
        <v>1454</v>
      </c>
      <c r="K4" s="1183" t="s">
        <v>1455</v>
      </c>
      <c r="L4" s="1183" t="s">
        <v>3926</v>
      </c>
      <c r="M4" s="1184" t="s">
        <v>3930</v>
      </c>
      <c r="R4" s="1185" t="s">
        <v>1465</v>
      </c>
      <c r="S4" s="1185" t="s">
        <v>1466</v>
      </c>
      <c r="T4" s="1186">
        <v>2022</v>
      </c>
      <c r="U4" s="1186">
        <v>2023</v>
      </c>
      <c r="V4" s="1186">
        <v>2024</v>
      </c>
      <c r="Y4" s="1187" t="s">
        <v>3932</v>
      </c>
      <c r="Z4" s="1188" t="s">
        <v>3933</v>
      </c>
      <c r="AA4" s="1188" t="s">
        <v>3934</v>
      </c>
      <c r="AB4" s="1188" t="s">
        <v>4240</v>
      </c>
    </row>
    <row r="5" spans="1:32" ht="15.75" thickBot="1">
      <c r="A5" s="30">
        <v>0</v>
      </c>
      <c r="B5" s="30" t="str">
        <f>"Short"&amp;F5</f>
        <v>ShortAverage passenger</v>
      </c>
      <c r="C5" s="30" t="s">
        <v>2821</v>
      </c>
      <c r="D5" s="30" t="s">
        <v>298</v>
      </c>
      <c r="E5" s="30" t="s">
        <v>4016</v>
      </c>
      <c r="F5" s="30" t="s">
        <v>299</v>
      </c>
      <c r="G5" s="30" t="s">
        <v>4017</v>
      </c>
      <c r="H5" s="30" t="s">
        <v>3928</v>
      </c>
      <c r="I5" s="30">
        <v>0.22771</v>
      </c>
      <c r="J5" s="30">
        <v>7.8571428571428577E-6</v>
      </c>
      <c r="K5" s="30">
        <v>5.0566037735849059E-6</v>
      </c>
      <c r="L5" s="30">
        <v>3.3500000000000002E-2</v>
      </c>
      <c r="M5" s="1189">
        <f>I5+(J5*GWPs!$C$4)+(K5*GWPs!$C$5)</f>
        <v>0.22932459568733152</v>
      </c>
      <c r="R5" s="1178" t="s">
        <v>4003</v>
      </c>
      <c r="S5" s="1190" t="s">
        <v>16</v>
      </c>
      <c r="T5" s="1191">
        <f>(Z8+Z14)/SUM($Z$5:$Z$15)</f>
        <v>3.4154118564137297E-2</v>
      </c>
      <c r="U5" s="1191">
        <f>(AA8+AA14)/SUM($AA$5:$AA$15)</f>
        <v>3.4789347832523208E-2</v>
      </c>
      <c r="V5" s="1191">
        <f>(AB8+AB14)/SUM($AB$5:$AB$15)</f>
        <v>3.5234621839803144E-2</v>
      </c>
      <c r="Y5" s="1192" t="s">
        <v>3935</v>
      </c>
      <c r="Z5" s="1193">
        <v>2442300</v>
      </c>
      <c r="AA5" s="1194">
        <v>3555900</v>
      </c>
      <c r="AB5" s="1194">
        <v>4503700</v>
      </c>
      <c r="AD5" s="1195" t="s">
        <v>297</v>
      </c>
      <c r="AF5" s="995" t="s">
        <v>267</v>
      </c>
    </row>
    <row r="6" spans="1:32" ht="15.75" thickBot="1">
      <c r="A6" s="30">
        <v>0</v>
      </c>
      <c r="B6" s="30" t="str">
        <f>"Long"&amp;F6</f>
        <v>LongAverage passenger</v>
      </c>
      <c r="C6" s="30" t="s">
        <v>2821</v>
      </c>
      <c r="D6" s="30" t="s">
        <v>298</v>
      </c>
      <c r="E6" s="30" t="s">
        <v>4018</v>
      </c>
      <c r="F6" s="30" t="s">
        <v>299</v>
      </c>
      <c r="G6" s="30" t="s">
        <v>4017</v>
      </c>
      <c r="H6" s="30" t="s">
        <v>3928</v>
      </c>
      <c r="I6" s="30">
        <v>0.15151999999999999</v>
      </c>
      <c r="J6" s="30">
        <v>3.5714285714285716E-7</v>
      </c>
      <c r="K6" s="30">
        <v>4.8679245283018864E-6</v>
      </c>
      <c r="L6" s="30">
        <v>3.2129999999999999E-2</v>
      </c>
      <c r="M6" s="1189">
        <f>I6+(J6*GWPs!$C$4)+(K6*GWPs!$C$5)</f>
        <v>0.15285958625336926</v>
      </c>
      <c r="R6" s="1178" t="s">
        <v>4004</v>
      </c>
      <c r="S6" s="1190" t="s">
        <v>1470</v>
      </c>
      <c r="T6" s="1191">
        <f>(Z9+Z13)/SUM($Z$5:$Z$15)</f>
        <v>0.92511913202050022</v>
      </c>
      <c r="U6" s="1191">
        <f>(AA9+AA13)/SUM($AA$5:$AA$15)</f>
        <v>0.91645666178445229</v>
      </c>
      <c r="V6" s="1191">
        <f>(AB9+AB13)/SUM($AB$5:$AB$15)</f>
        <v>0.90886092906844218</v>
      </c>
      <c r="Y6" s="1192" t="s">
        <v>3936</v>
      </c>
      <c r="Z6" s="1193">
        <v>1012400</v>
      </c>
      <c r="AA6" s="1194">
        <v>1307200</v>
      </c>
      <c r="AB6" s="1194">
        <v>1520800</v>
      </c>
      <c r="AD6" s="56" t="s">
        <v>38</v>
      </c>
      <c r="AF6" s="56" t="s">
        <v>9</v>
      </c>
    </row>
    <row r="7" spans="1:32" ht="15.75" thickBot="1">
      <c r="A7" s="30">
        <v>0</v>
      </c>
      <c r="B7" s="30" t="str">
        <f>"Long"&amp;F7</f>
        <v>LongBusiness class</v>
      </c>
      <c r="C7" s="30" t="s">
        <v>2821</v>
      </c>
      <c r="D7" s="30" t="s">
        <v>298</v>
      </c>
      <c r="E7" s="30" t="s">
        <v>4018</v>
      </c>
      <c r="F7" s="30" t="s">
        <v>301</v>
      </c>
      <c r="G7" s="30" t="s">
        <v>4017</v>
      </c>
      <c r="H7" s="30" t="s">
        <v>3928</v>
      </c>
      <c r="I7" s="30">
        <v>0.33651999999999999</v>
      </c>
      <c r="J7" s="30">
        <v>7.1428571428571431E-7</v>
      </c>
      <c r="K7" s="30">
        <v>1.0754716981132076E-5</v>
      </c>
      <c r="L7" s="30">
        <v>7.1370000000000003E-2</v>
      </c>
      <c r="M7" s="1189">
        <f>I7+(J7*GWPs!$C$4)+(K7*GWPs!$C$5)</f>
        <v>0.33947732345013476</v>
      </c>
      <c r="R7" s="1178" t="s">
        <v>1475</v>
      </c>
      <c r="S7" s="1190" t="s">
        <v>1476</v>
      </c>
      <c r="T7" s="1191">
        <f>Z7/SUM($Z$5:$Z$15)</f>
        <v>2.2192593533185895E-2</v>
      </c>
      <c r="U7" s="1191">
        <f>AA7/SUM($AA$5:$AA$15)</f>
        <v>2.5748485265407278E-2</v>
      </c>
      <c r="V7" s="1191">
        <f>AB7/SUM($AB$5:$AB$15)</f>
        <v>2.9356775664391002E-2</v>
      </c>
      <c r="Y7" s="1192" t="s">
        <v>3937</v>
      </c>
      <c r="Z7" s="1193">
        <v>6291800</v>
      </c>
      <c r="AA7" s="1194">
        <v>7392300</v>
      </c>
      <c r="AB7" s="1194">
        <v>8502600</v>
      </c>
      <c r="AD7" s="56" t="s">
        <v>39</v>
      </c>
      <c r="AF7" s="56" t="s">
        <v>270</v>
      </c>
    </row>
    <row r="8" spans="1:32" ht="15.75" thickBot="1">
      <c r="A8" s="30">
        <v>0</v>
      </c>
      <c r="B8" s="30" t="str">
        <f>"Long"&amp;F8</f>
        <v>LongEconomy class</v>
      </c>
      <c r="C8" s="30" t="s">
        <v>2821</v>
      </c>
      <c r="D8" s="30" t="s">
        <v>298</v>
      </c>
      <c r="E8" s="30" t="s">
        <v>4018</v>
      </c>
      <c r="F8" s="30" t="s">
        <v>300</v>
      </c>
      <c r="G8" s="30" t="s">
        <v>4017</v>
      </c>
      <c r="H8" s="30" t="s">
        <v>3928</v>
      </c>
      <c r="I8" s="30">
        <v>0.11604</v>
      </c>
      <c r="J8" s="30">
        <v>3.5714285714285716E-7</v>
      </c>
      <c r="K8" s="30">
        <v>3.7358490566037735E-6</v>
      </c>
      <c r="L8" s="30">
        <v>2.461E-2</v>
      </c>
      <c r="M8" s="1189">
        <f>I8+(J8*GWPs!$C$4)+(K8*GWPs!$C$5)</f>
        <v>0.11707052964959569</v>
      </c>
      <c r="R8" s="1178" t="s">
        <v>276</v>
      </c>
      <c r="S8" s="1190" t="s">
        <v>276</v>
      </c>
      <c r="T8" s="1191">
        <f>Z15/SUM($Z$5:$Z$15)</f>
        <v>6.1825197789135439E-3</v>
      </c>
      <c r="U8" s="1191">
        <f>AA15/SUM($AA$5:$AA$15)</f>
        <v>5.9008033884077309E-3</v>
      </c>
      <c r="V8" s="1191">
        <f>AB15/SUM($AB$5:$AB$15)</f>
        <v>5.746989520073722E-3</v>
      </c>
      <c r="X8" s="1182"/>
      <c r="Y8" s="1192" t="s">
        <v>18</v>
      </c>
      <c r="Z8" s="1193">
        <v>2526100</v>
      </c>
      <c r="AA8" s="1194">
        <v>2803600</v>
      </c>
      <c r="AB8" s="1194">
        <v>3030600</v>
      </c>
      <c r="AD8" s="56" t="s">
        <v>40</v>
      </c>
      <c r="AF8" s="56" t="s">
        <v>36</v>
      </c>
    </row>
    <row r="9" spans="1:32" ht="15.75" thickBot="1">
      <c r="A9" s="30">
        <v>0</v>
      </c>
      <c r="B9" s="30" t="str">
        <f>"Long"&amp;F9</f>
        <v>LongFirst class</v>
      </c>
      <c r="C9" s="30" t="s">
        <v>2821</v>
      </c>
      <c r="D9" s="30" t="s">
        <v>298</v>
      </c>
      <c r="E9" s="30" t="s">
        <v>4018</v>
      </c>
      <c r="F9" s="30" t="s">
        <v>303</v>
      </c>
      <c r="G9" s="30" t="s">
        <v>4017</v>
      </c>
      <c r="H9" s="30" t="s">
        <v>3928</v>
      </c>
      <c r="I9" s="30">
        <v>0.46417000000000003</v>
      </c>
      <c r="J9" s="30">
        <v>1.0714285714285714E-6</v>
      </c>
      <c r="K9" s="30">
        <v>1.4867924528301887E-5</v>
      </c>
      <c r="L9" s="30">
        <v>9.844E-2</v>
      </c>
      <c r="M9" s="1189">
        <f>I9+(J9*GWPs!$C$4)+(K9*GWPs!$C$5)</f>
        <v>0.46826087196765503</v>
      </c>
      <c r="R9" s="1178" t="s">
        <v>1484</v>
      </c>
      <c r="S9" s="1190" t="s">
        <v>277</v>
      </c>
      <c r="T9" s="1191">
        <f>Z6/SUM($Z$5:$Z$15)</f>
        <v>3.5709624738544457E-3</v>
      </c>
      <c r="U9" s="1191">
        <f>AA6/SUM($AA$5:$AA$15)</f>
        <v>4.5531728878617471E-3</v>
      </c>
      <c r="V9" s="1191">
        <f>AB6/SUM($AB$5:$AB$15)</f>
        <v>5.2508390880913886E-3</v>
      </c>
      <c r="X9" s="1182"/>
      <c r="Y9" s="1192" t="s">
        <v>3938</v>
      </c>
      <c r="Z9" s="1193">
        <v>20906700</v>
      </c>
      <c r="AA9" s="1194">
        <v>20240600</v>
      </c>
      <c r="AB9" s="1194">
        <v>19912800</v>
      </c>
      <c r="AD9" s="56"/>
      <c r="AF9" s="56" t="s">
        <v>273</v>
      </c>
    </row>
    <row r="10" spans="1:32" ht="15.75" thickBot="1">
      <c r="A10" s="30">
        <v>0</v>
      </c>
      <c r="B10" s="30" t="str">
        <f>"Long"&amp;F10</f>
        <v>LongPremium economy class</v>
      </c>
      <c r="C10" s="30" t="s">
        <v>2821</v>
      </c>
      <c r="D10" s="30" t="s">
        <v>298</v>
      </c>
      <c r="E10" s="30" t="s">
        <v>4018</v>
      </c>
      <c r="F10" s="30" t="s">
        <v>302</v>
      </c>
      <c r="G10" s="30" t="s">
        <v>4017</v>
      </c>
      <c r="H10" s="30" t="s">
        <v>3928</v>
      </c>
      <c r="I10" s="30">
        <v>0.18567</v>
      </c>
      <c r="J10" s="30">
        <v>3.5714285714285716E-7</v>
      </c>
      <c r="K10" s="30">
        <v>5.9245283018867925E-6</v>
      </c>
      <c r="L10" s="30">
        <v>3.9370000000000002E-2</v>
      </c>
      <c r="M10" s="1189">
        <f>I10+(J10*GWPs!$C$4)+(K10*GWPs!$C$5)</f>
        <v>0.18729803908355797</v>
      </c>
      <c r="R10" s="1178" t="s">
        <v>1486</v>
      </c>
      <c r="S10" s="1190" t="s">
        <v>278</v>
      </c>
      <c r="T10" s="1191">
        <f>Z5/SUM($Z$5:$Z$15)</f>
        <v>8.6145413373120427E-3</v>
      </c>
      <c r="U10" s="1191">
        <f>AA5/SUM($AA$5:$AA$15)</f>
        <v>1.2385730930192461E-2</v>
      </c>
      <c r="V10" s="1191">
        <f>AB5/SUM($AB$5:$AB$15)</f>
        <v>1.554984481919857E-2</v>
      </c>
      <c r="X10" s="1182"/>
      <c r="Y10" s="1196" t="s">
        <v>3939</v>
      </c>
      <c r="Z10" s="1197">
        <v>25600</v>
      </c>
      <c r="AA10" s="1198">
        <v>24700</v>
      </c>
      <c r="AB10" s="1198"/>
      <c r="AF10" s="56" t="s">
        <v>275</v>
      </c>
    </row>
    <row r="11" spans="1:32" ht="15.75" thickBot="1">
      <c r="A11" s="30">
        <v>0</v>
      </c>
      <c r="B11" s="30" t="str">
        <f>"Medium"&amp;F11</f>
        <v>MediumAverage passenger</v>
      </c>
      <c r="C11" s="30" t="s">
        <v>2821</v>
      </c>
      <c r="D11" s="30" t="s">
        <v>298</v>
      </c>
      <c r="E11" s="30" t="s">
        <v>4019</v>
      </c>
      <c r="F11" s="30" t="s">
        <v>299</v>
      </c>
      <c r="G11" s="30" t="s">
        <v>4017</v>
      </c>
      <c r="H11" s="30" t="s">
        <v>3928</v>
      </c>
      <c r="I11" s="30">
        <v>0.12692999999999999</v>
      </c>
      <c r="J11" s="30">
        <v>3.5714285714285716E-7</v>
      </c>
      <c r="K11" s="30">
        <v>3.4716981132075472E-6</v>
      </c>
      <c r="L11" s="30">
        <v>2.2859999999999998E-2</v>
      </c>
      <c r="M11" s="1189">
        <f>I11+(J11*GWPs!$C$4)+(K11*GWPs!$C$5)</f>
        <v>0.12788841644204851</v>
      </c>
      <c r="X11" s="1182"/>
      <c r="Y11" s="1196" t="s">
        <v>41</v>
      </c>
      <c r="Z11" s="1197">
        <v>6600</v>
      </c>
      <c r="AA11" s="1198">
        <v>6000</v>
      </c>
      <c r="AB11" s="1198"/>
      <c r="AD11" s="30" t="s">
        <v>38</v>
      </c>
    </row>
    <row r="12" spans="1:32" ht="15.75" thickBot="1">
      <c r="A12" s="30">
        <v>0</v>
      </c>
      <c r="B12" s="30" t="str">
        <f>"Medium"&amp;F12</f>
        <v>MediumBusiness class</v>
      </c>
      <c r="C12" s="30" t="s">
        <v>2821</v>
      </c>
      <c r="D12" s="30" t="s">
        <v>298</v>
      </c>
      <c r="E12" s="30" t="s">
        <v>4019</v>
      </c>
      <c r="F12" s="30" t="s">
        <v>301</v>
      </c>
      <c r="G12" s="30" t="s">
        <v>4017</v>
      </c>
      <c r="H12" s="30" t="s">
        <v>3928</v>
      </c>
      <c r="I12" s="30">
        <v>0.18726999999999999</v>
      </c>
      <c r="J12" s="30">
        <v>3.5714285714285716E-7</v>
      </c>
      <c r="K12" s="30">
        <v>5.0943396226415093E-6</v>
      </c>
      <c r="L12" s="30">
        <v>3.3730000000000003E-2</v>
      </c>
      <c r="M12" s="1189">
        <f>I12+(J12*GWPs!$C$4)+(K12*GWPs!$C$5)</f>
        <v>0.18867139757412399</v>
      </c>
      <c r="X12" s="1199"/>
      <c r="Y12" s="1196" t="s">
        <v>3940</v>
      </c>
      <c r="Z12" s="1197">
        <v>14900</v>
      </c>
      <c r="AA12" s="1198">
        <v>16900</v>
      </c>
      <c r="AB12" s="1198"/>
      <c r="AD12" s="1200" t="s">
        <v>299</v>
      </c>
      <c r="AF12" s="1201" t="s">
        <v>9</v>
      </c>
    </row>
    <row r="13" spans="1:32" ht="15.75" thickBot="1">
      <c r="A13" s="30">
        <v>0</v>
      </c>
      <c r="B13" s="30" t="str">
        <f>"Medium"&amp;F13</f>
        <v>MediumEconomy class</v>
      </c>
      <c r="C13" s="30" t="s">
        <v>2821</v>
      </c>
      <c r="D13" s="30" t="s">
        <v>298</v>
      </c>
      <c r="E13" s="30" t="s">
        <v>4019</v>
      </c>
      <c r="F13" s="30" t="s">
        <v>300</v>
      </c>
      <c r="G13" s="30" t="s">
        <v>4017</v>
      </c>
      <c r="H13" s="30" t="s">
        <v>3928</v>
      </c>
      <c r="I13" s="30">
        <v>0.12485</v>
      </c>
      <c r="J13" s="30">
        <v>3.5714285714285716E-7</v>
      </c>
      <c r="K13" s="30">
        <v>3.3962264150943395E-6</v>
      </c>
      <c r="L13" s="30">
        <v>2.249E-2</v>
      </c>
      <c r="M13" s="1189">
        <f>I13+(J13*GWPs!$C$4)+(K13*GWPs!$C$5)</f>
        <v>0.12578781266846362</v>
      </c>
      <c r="W13" s="1182"/>
      <c r="X13" s="1199"/>
      <c r="Y13" s="1192" t="s">
        <v>17</v>
      </c>
      <c r="Z13" s="1193">
        <v>241372900</v>
      </c>
      <c r="AA13" s="1194">
        <v>242870900</v>
      </c>
      <c r="AB13" s="1194">
        <v>243320500</v>
      </c>
      <c r="AF13" s="1202" t="s">
        <v>268</v>
      </c>
    </row>
    <row r="14" spans="1:32" ht="15.75" thickBot="1">
      <c r="A14" s="30">
        <v>0</v>
      </c>
      <c r="B14" s="30" t="str">
        <f t="shared" ref="B14:B20" si="0">"Cars_by_market_segment"&amp;E14&amp;G14</f>
        <v>Cars_by_market_segmentDual purpose 4X4Diesel</v>
      </c>
      <c r="C14" s="30" t="s">
        <v>3927</v>
      </c>
      <c r="D14" s="30" t="s">
        <v>4000</v>
      </c>
      <c r="E14" s="1203" t="s">
        <v>274</v>
      </c>
      <c r="F14" s="1203" t="s">
        <v>1459</v>
      </c>
      <c r="G14" s="1203" t="s">
        <v>16</v>
      </c>
      <c r="H14" s="1203" t="s">
        <v>1460</v>
      </c>
      <c r="I14" s="1203">
        <v>0.31874000000000002</v>
      </c>
      <c r="J14" s="1203">
        <v>3.5714285714285716E-7</v>
      </c>
      <c r="K14" s="1203">
        <v>1.0150943396226416E-5</v>
      </c>
      <c r="L14" s="1203">
        <v>7.7729999999999994E-2</v>
      </c>
      <c r="M14" s="1204">
        <f>I14+(J14*GWPs!$C$4)+(K14*GWPs!$C$5)</f>
        <v>0.32152185040431269</v>
      </c>
      <c r="P14" s="1205"/>
      <c r="W14" s="1182"/>
      <c r="X14" s="1182"/>
      <c r="Y14" s="1192" t="s">
        <v>16</v>
      </c>
      <c r="Z14" s="1193">
        <v>7156900</v>
      </c>
      <c r="AA14" s="1194">
        <v>7184300</v>
      </c>
      <c r="AB14" s="1194">
        <v>7174400</v>
      </c>
      <c r="AD14" s="30" t="s">
        <v>39</v>
      </c>
      <c r="AF14" s="1202" t="s">
        <v>269</v>
      </c>
    </row>
    <row r="15" spans="1:32" ht="39.75" customHeight="1" thickBot="1">
      <c r="A15" s="30">
        <v>0</v>
      </c>
      <c r="B15" s="30" t="str">
        <f t="shared" si="0"/>
        <v>Cars_by_market_segmentDual purpose 4X4Gasoline</v>
      </c>
      <c r="C15" s="30" t="s">
        <v>3927</v>
      </c>
      <c r="D15" s="30" t="s">
        <v>4000</v>
      </c>
      <c r="E15" s="1203" t="s">
        <v>274</v>
      </c>
      <c r="F15" s="1203" t="s">
        <v>1459</v>
      </c>
      <c r="G15" s="1203" t="s">
        <v>17</v>
      </c>
      <c r="H15" s="1203" t="s">
        <v>1460</v>
      </c>
      <c r="I15" s="1203">
        <v>0.30820999999999998</v>
      </c>
      <c r="J15" s="1203">
        <v>2.0357142857142855E-5</v>
      </c>
      <c r="K15" s="1203">
        <v>1.9622641509433961E-6</v>
      </c>
      <c r="L15" s="1203">
        <v>8.8359999999999994E-2</v>
      </c>
      <c r="M15" s="1204">
        <f>I15+(J15*GWPs!$C$4)+(K15*GWPs!$C$5)</f>
        <v>0.30935234097035036</v>
      </c>
      <c r="P15" s="1205"/>
      <c r="R15" s="1178" t="s">
        <v>4026</v>
      </c>
      <c r="W15" s="1182"/>
      <c r="X15" s="1182"/>
      <c r="Y15" s="1192" t="s">
        <v>3941</v>
      </c>
      <c r="Z15" s="1193">
        <v>1752800</v>
      </c>
      <c r="AA15" s="1194">
        <v>1694100</v>
      </c>
      <c r="AB15" s="1194">
        <v>1664500</v>
      </c>
      <c r="AD15" s="1071" t="s">
        <v>299</v>
      </c>
      <c r="AF15" s="1202" t="s">
        <v>271</v>
      </c>
    </row>
    <row r="16" spans="1:32">
      <c r="A16" s="30">
        <v>0</v>
      </c>
      <c r="B16" s="30" t="str">
        <f t="shared" si="0"/>
        <v>Cars_by_market_segmentDual purpose 4X4Battery Electric Vehicle</v>
      </c>
      <c r="C16" s="30" t="s">
        <v>3927</v>
      </c>
      <c r="D16" s="30" t="s">
        <v>4000</v>
      </c>
      <c r="E16" s="1203" t="s">
        <v>274</v>
      </c>
      <c r="F16" s="1203" t="s">
        <v>1459</v>
      </c>
      <c r="G16" s="1203" t="s">
        <v>278</v>
      </c>
      <c r="H16" s="1203" t="s">
        <v>1460</v>
      </c>
      <c r="I16" s="1203">
        <v>6.6949999999999996E-2</v>
      </c>
      <c r="J16" s="1203">
        <v>1.6428571428571429E-5</v>
      </c>
      <c r="K16" s="1203">
        <v>2.3773584905660377E-6</v>
      </c>
      <c r="L16" s="1203">
        <v>1.78E-2</v>
      </c>
      <c r="M16" s="1204">
        <f>I16+(J16*GWPs!$C$4)+(K16*GWPs!$C$5)</f>
        <v>6.8088590296495943E-2</v>
      </c>
      <c r="P16" s="1205"/>
      <c r="R16" s="30" t="s">
        <v>16</v>
      </c>
      <c r="S16" s="1205">
        <f t="shared" ref="S16:S21" si="1">_xlfn.XLOOKUP(R16,$S$5:$S$10,$V$5:$V$10,,0)</f>
        <v>3.5234621839803144E-2</v>
      </c>
      <c r="W16" s="1182"/>
      <c r="X16" s="1182"/>
      <c r="AD16" s="1071" t="s">
        <v>300</v>
      </c>
      <c r="AF16" s="1206" t="s">
        <v>272</v>
      </c>
    </row>
    <row r="17" spans="1:32" ht="39.75" customHeight="1">
      <c r="A17" s="30">
        <v>0</v>
      </c>
      <c r="B17" s="30" t="str">
        <f t="shared" si="0"/>
        <v>Cars_by_market_segmentDual purpose 4X4Plug-in Hybrid Electric Vehicle</v>
      </c>
      <c r="C17" s="30" t="s">
        <v>3927</v>
      </c>
      <c r="D17" s="30" t="s">
        <v>4000</v>
      </c>
      <c r="E17" s="1203" t="s">
        <v>274</v>
      </c>
      <c r="F17" s="1203" t="s">
        <v>1459</v>
      </c>
      <c r="G17" s="1203" t="s">
        <v>277</v>
      </c>
      <c r="H17" s="1203" t="s">
        <v>1460</v>
      </c>
      <c r="I17" s="1203">
        <v>0.18642</v>
      </c>
      <c r="J17" s="1203">
        <v>2.3214285714285715E-5</v>
      </c>
      <c r="K17" s="1203">
        <v>2.3396226415094339E-6</v>
      </c>
      <c r="L17" s="1203">
        <v>5.323E-2</v>
      </c>
      <c r="M17" s="1204">
        <f>I17+(J17*GWPs!$C$4)+(K17*GWPs!$C$5)</f>
        <v>0.18775050269541779</v>
      </c>
      <c r="P17" s="1205"/>
      <c r="R17" s="30" t="s">
        <v>1470</v>
      </c>
      <c r="S17" s="1205">
        <f t="shared" si="1"/>
        <v>0.90886092906844218</v>
      </c>
      <c r="T17" s="1583" t="s">
        <v>4262</v>
      </c>
      <c r="U17" s="1583"/>
      <c r="V17" s="1583"/>
      <c r="W17" s="1182"/>
      <c r="X17" s="1182"/>
      <c r="AD17" s="1200" t="s">
        <v>301</v>
      </c>
    </row>
    <row r="18" spans="1:32" ht="15">
      <c r="A18" s="30">
        <v>0</v>
      </c>
      <c r="B18" s="30" t="str">
        <f t="shared" si="0"/>
        <v>Cars_by_market_segmentDual purpose 4X4Unknown</v>
      </c>
      <c r="C18" s="30" t="s">
        <v>3927</v>
      </c>
      <c r="D18" s="30" t="s">
        <v>4000</v>
      </c>
      <c r="E18" s="1203" t="s">
        <v>274</v>
      </c>
      <c r="F18" s="1203" t="s">
        <v>1459</v>
      </c>
      <c r="G18" s="1203" t="s">
        <v>276</v>
      </c>
      <c r="H18" s="1203" t="s">
        <v>1460</v>
      </c>
      <c r="I18" s="1203">
        <v>0.31459999999999999</v>
      </c>
      <c r="J18" s="1203">
        <v>5.7142857142857145E-6</v>
      </c>
      <c r="K18" s="1203">
        <v>7.9999999999999996E-6</v>
      </c>
      <c r="L18" s="1203">
        <v>8.1449999999999995E-2</v>
      </c>
      <c r="M18" s="1204">
        <f>I18+(J18*GWPs!$C$4)+(K18*GWPs!$C$5)</f>
        <v>0.31695428571428574</v>
      </c>
      <c r="N18" s="1205"/>
      <c r="P18" s="1205"/>
      <c r="R18" s="30" t="s">
        <v>278</v>
      </c>
      <c r="S18" s="1205">
        <f t="shared" si="1"/>
        <v>1.554984481919857E-2</v>
      </c>
      <c r="W18" s="1182"/>
      <c r="X18" s="1182"/>
      <c r="AF18" s="995" t="s">
        <v>270</v>
      </c>
    </row>
    <row r="19" spans="1:32">
      <c r="A19" s="30">
        <v>0</v>
      </c>
      <c r="B19" s="30" t="str">
        <f t="shared" si="0"/>
        <v>Cars_by_market_segmentExecutiveDiesel</v>
      </c>
      <c r="C19" s="30" t="s">
        <v>3927</v>
      </c>
      <c r="D19" s="30" t="s">
        <v>4000</v>
      </c>
      <c r="E19" s="1207" t="s">
        <v>279</v>
      </c>
      <c r="F19" s="1207" t="s">
        <v>1459</v>
      </c>
      <c r="G19" s="1207" t="s">
        <v>16</v>
      </c>
      <c r="H19" s="1207" t="s">
        <v>1460</v>
      </c>
      <c r="I19" s="1207">
        <v>0.27229999999999999</v>
      </c>
      <c r="J19" s="1207">
        <v>3.5714285714285716E-7</v>
      </c>
      <c r="K19" s="1207">
        <v>1.0150943396226416E-5</v>
      </c>
      <c r="L19" s="1207">
        <v>6.6790000000000002E-2</v>
      </c>
      <c r="M19" s="1208">
        <f>I19+(J19*GWPs!$C$4)+(K19*GWPs!$C$5)</f>
        <v>0.27508185040431266</v>
      </c>
      <c r="N19" s="1205"/>
      <c r="P19" s="1205"/>
      <c r="R19" s="30" t="s">
        <v>277</v>
      </c>
      <c r="S19" s="1205">
        <f t="shared" si="1"/>
        <v>5.2508390880913886E-3</v>
      </c>
      <c r="W19" s="1182"/>
      <c r="X19" s="1182"/>
      <c r="AD19" s="30" t="s">
        <v>40</v>
      </c>
      <c r="AF19" s="1209" t="s">
        <v>281</v>
      </c>
    </row>
    <row r="20" spans="1:32">
      <c r="A20" s="30">
        <v>0</v>
      </c>
      <c r="B20" s="30" t="str">
        <f t="shared" si="0"/>
        <v>Cars_by_market_segmentExecutiveGasoline</v>
      </c>
      <c r="C20" s="30" t="s">
        <v>3927</v>
      </c>
      <c r="D20" s="30" t="s">
        <v>4000</v>
      </c>
      <c r="E20" s="1207" t="s">
        <v>279</v>
      </c>
      <c r="F20" s="1207" t="s">
        <v>1459</v>
      </c>
      <c r="G20" s="1207" t="s">
        <v>17</v>
      </c>
      <c r="H20" s="1207" t="s">
        <v>1460</v>
      </c>
      <c r="I20" s="1207">
        <v>0.32195000000000001</v>
      </c>
      <c r="J20" s="1207">
        <v>2.0357142857142855E-5</v>
      </c>
      <c r="K20" s="1207">
        <v>1.9622641509433961E-6</v>
      </c>
      <c r="L20" s="1207">
        <v>9.3729999999999994E-2</v>
      </c>
      <c r="M20" s="1208">
        <f>I20+(J20*GWPs!$C$4)+(K20*GWPs!$C$5)</f>
        <v>0.32309234097035039</v>
      </c>
      <c r="N20" s="1205"/>
      <c r="O20" s="1205"/>
      <c r="R20" s="30" t="s">
        <v>276</v>
      </c>
      <c r="S20" s="1205">
        <f t="shared" si="1"/>
        <v>5.746989520073722E-3</v>
      </c>
      <c r="W20" s="1182"/>
      <c r="X20" s="1182"/>
      <c r="AD20" s="1071" t="s">
        <v>299</v>
      </c>
      <c r="AF20" s="1054" t="s">
        <v>283</v>
      </c>
    </row>
    <row r="21" spans="1:32">
      <c r="A21" s="30">
        <v>0</v>
      </c>
      <c r="B21" s="30" t="str">
        <f t="shared" ref="B21:B80" si="2">"Cars_by_market_segment"&amp;E21&amp;G21</f>
        <v>Cars_by_market_segmentExecutiveBattery Electric Vehicle</v>
      </c>
      <c r="C21" s="30" t="s">
        <v>3927</v>
      </c>
      <c r="D21" s="30" t="s">
        <v>4000</v>
      </c>
      <c r="E21" s="1207" t="s">
        <v>279</v>
      </c>
      <c r="F21" s="1207" t="s">
        <v>1459</v>
      </c>
      <c r="G21" s="1207" t="s">
        <v>278</v>
      </c>
      <c r="H21" s="1207" t="s">
        <v>1460</v>
      </c>
      <c r="I21" s="1207">
        <v>5.8749999999999997E-2</v>
      </c>
      <c r="J21" s="1207">
        <v>1.2500000000000001E-5</v>
      </c>
      <c r="K21" s="1207">
        <v>1.7735849056603772E-6</v>
      </c>
      <c r="L21" s="1207">
        <v>1.519E-2</v>
      </c>
      <c r="M21" s="1208">
        <f>I21+(J21*GWPs!$C$4)+(K21*GWPs!$C$5)</f>
        <v>5.9606688679245276E-2</v>
      </c>
      <c r="N21" s="1205"/>
      <c r="O21" s="1205"/>
      <c r="R21" s="30" t="s">
        <v>1476</v>
      </c>
      <c r="S21" s="1205">
        <f t="shared" si="1"/>
        <v>2.9356775664391002E-2</v>
      </c>
      <c r="AD21" s="1071" t="s">
        <v>300</v>
      </c>
      <c r="AF21" s="1210" t="s">
        <v>274</v>
      </c>
    </row>
    <row r="22" spans="1:32">
      <c r="A22" s="30">
        <v>0</v>
      </c>
      <c r="B22" s="30" t="str">
        <f t="shared" si="2"/>
        <v>Cars_by_market_segmentExecutivePlug-in Hybrid Electric Vehicle</v>
      </c>
      <c r="C22" s="30" t="s">
        <v>3927</v>
      </c>
      <c r="D22" s="30" t="s">
        <v>4000</v>
      </c>
      <c r="E22" s="1207" t="s">
        <v>279</v>
      </c>
      <c r="F22" s="1207" t="s">
        <v>1459</v>
      </c>
      <c r="G22" s="1207" t="s">
        <v>277</v>
      </c>
      <c r="H22" s="1207" t="s">
        <v>1460</v>
      </c>
      <c r="I22" s="1207">
        <v>0.14584</v>
      </c>
      <c r="J22" s="1207">
        <v>1.9642857142857145E-5</v>
      </c>
      <c r="K22" s="1207">
        <v>2.2264150943396228E-6</v>
      </c>
      <c r="L22" s="1207">
        <v>4.165E-2</v>
      </c>
      <c r="M22" s="1208">
        <f>I22+(J22*GWPs!$C$4)+(K22*GWPs!$C$5)</f>
        <v>0.14703316846361186</v>
      </c>
      <c r="N22" s="1205"/>
      <c r="O22" s="1205"/>
      <c r="AD22" s="1071" t="s">
        <v>302</v>
      </c>
      <c r="AF22" s="1054" t="s">
        <v>284</v>
      </c>
    </row>
    <row r="23" spans="1:32">
      <c r="A23" s="30">
        <v>0</v>
      </c>
      <c r="B23" s="30" t="str">
        <f t="shared" si="2"/>
        <v>Cars_by_market_segmentExecutiveUnknown</v>
      </c>
      <c r="C23" s="30" t="s">
        <v>3927</v>
      </c>
      <c r="D23" s="30" t="s">
        <v>4000</v>
      </c>
      <c r="E23" s="1207" t="s">
        <v>279</v>
      </c>
      <c r="F23" s="1207" t="s">
        <v>1459</v>
      </c>
      <c r="G23" s="1207" t="s">
        <v>276</v>
      </c>
      <c r="H23" s="1207" t="s">
        <v>1460</v>
      </c>
      <c r="I23" s="1207">
        <v>0.28488000000000002</v>
      </c>
      <c r="J23" s="1207">
        <v>5.357142857142857E-6</v>
      </c>
      <c r="K23" s="1207">
        <v>8.2264150943396234E-6</v>
      </c>
      <c r="L23" s="1207">
        <v>7.3340000000000002E-2</v>
      </c>
      <c r="M23" s="1208">
        <f>I23+(J23*GWPs!$C$4)+(K23*GWPs!$C$5)</f>
        <v>0.28728545417789764</v>
      </c>
      <c r="N23" s="1205"/>
      <c r="O23" s="1205"/>
      <c r="AD23" s="1071" t="s">
        <v>301</v>
      </c>
      <c r="AF23" s="1210" t="s">
        <v>279</v>
      </c>
    </row>
    <row r="24" spans="1:32">
      <c r="A24" s="30">
        <v>0</v>
      </c>
      <c r="B24" s="30" t="str">
        <f t="shared" si="2"/>
        <v>Cars_by_market_segmentLower mediumDiesel</v>
      </c>
      <c r="C24" s="30" t="s">
        <v>3927</v>
      </c>
      <c r="D24" s="30" t="s">
        <v>4000</v>
      </c>
      <c r="E24" s="1203" t="s">
        <v>280</v>
      </c>
      <c r="F24" s="1203" t="s">
        <v>1459</v>
      </c>
      <c r="G24" s="1203" t="s">
        <v>16</v>
      </c>
      <c r="H24" s="1203" t="s">
        <v>1460</v>
      </c>
      <c r="I24" s="1203">
        <v>0.23091999999999999</v>
      </c>
      <c r="J24" s="1203">
        <v>3.5714285714285716E-7</v>
      </c>
      <c r="K24" s="1203">
        <v>1.0150943396226416E-5</v>
      </c>
      <c r="L24" s="1203">
        <v>5.6030000000000003E-2</v>
      </c>
      <c r="M24" s="1204">
        <f>I24+(J24*GWPs!$C$4)+(K24*GWPs!$C$5)</f>
        <v>0.23370185040431266</v>
      </c>
      <c r="N24" s="1205"/>
      <c r="O24" s="1205"/>
      <c r="AD24" s="1200" t="s">
        <v>303</v>
      </c>
      <c r="AF24" s="1054" t="s">
        <v>285</v>
      </c>
    </row>
    <row r="25" spans="1:32">
      <c r="A25" s="30">
        <v>0</v>
      </c>
      <c r="B25" s="30" t="str">
        <f t="shared" si="2"/>
        <v>Cars_by_market_segmentLower mediumGasoline</v>
      </c>
      <c r="C25" s="30" t="s">
        <v>3927</v>
      </c>
      <c r="D25" s="30" t="s">
        <v>4000</v>
      </c>
      <c r="E25" s="1203" t="s">
        <v>280</v>
      </c>
      <c r="F25" s="1203" t="s">
        <v>1459</v>
      </c>
      <c r="G25" s="1203" t="s">
        <v>17</v>
      </c>
      <c r="H25" s="1203" t="s">
        <v>1460</v>
      </c>
      <c r="I25" s="1203">
        <v>0.25839000000000001</v>
      </c>
      <c r="J25" s="1203">
        <v>2.0357142857142855E-5</v>
      </c>
      <c r="K25" s="1203">
        <v>1.9622641509433961E-6</v>
      </c>
      <c r="L25" s="1203">
        <v>7.3749999999999996E-2</v>
      </c>
      <c r="M25" s="1204">
        <f>I25+(J25*GWPs!$C$4)+(K25*GWPs!$C$5)</f>
        <v>0.25953234097035038</v>
      </c>
      <c r="N25" s="1205"/>
      <c r="O25" s="1205"/>
      <c r="AF25" s="1210" t="s">
        <v>280</v>
      </c>
    </row>
    <row r="26" spans="1:32" ht="15">
      <c r="A26" s="30">
        <v>0</v>
      </c>
      <c r="B26" s="30" t="str">
        <f t="shared" si="2"/>
        <v>Cars_by_market_segmentLower mediumBattery Electric Vehicle</v>
      </c>
      <c r="C26" s="30" t="s">
        <v>3927</v>
      </c>
      <c r="D26" s="30" t="s">
        <v>4000</v>
      </c>
      <c r="E26" s="1203" t="s">
        <v>280</v>
      </c>
      <c r="F26" s="1203" t="s">
        <v>1459</v>
      </c>
      <c r="G26" s="1203" t="s">
        <v>278</v>
      </c>
      <c r="H26" s="1203" t="s">
        <v>1460</v>
      </c>
      <c r="I26" s="1203">
        <v>6.1080000000000002E-2</v>
      </c>
      <c r="J26" s="1203">
        <v>1.2857142857142857E-5</v>
      </c>
      <c r="K26" s="1203">
        <v>1.8113207547169812E-6</v>
      </c>
      <c r="L26" s="1203">
        <v>1.6420000000000001E-2</v>
      </c>
      <c r="M26" s="1204">
        <f>I26+(J26*GWPs!$C$4)+(K26*GWPs!$C$5)</f>
        <v>6.19576334231806E-2</v>
      </c>
      <c r="Q26" s="56"/>
      <c r="R26" s="1211" t="s">
        <v>4028</v>
      </c>
      <c r="S26" s="1211" t="s">
        <v>4029</v>
      </c>
      <c r="AF26" s="1054" t="s">
        <v>286</v>
      </c>
    </row>
    <row r="27" spans="1:32" ht="15">
      <c r="A27" s="30">
        <v>0</v>
      </c>
      <c r="B27" s="30" t="str">
        <f t="shared" si="2"/>
        <v>Cars_by_market_segmentLower mediumPlug-in Hybrid Electric Vehicle</v>
      </c>
      <c r="C27" s="30" t="s">
        <v>3927</v>
      </c>
      <c r="D27" s="30" t="s">
        <v>4000</v>
      </c>
      <c r="E27" s="1203" t="s">
        <v>280</v>
      </c>
      <c r="F27" s="1203" t="s">
        <v>1459</v>
      </c>
      <c r="G27" s="1203" t="s">
        <v>277</v>
      </c>
      <c r="H27" s="1203" t="s">
        <v>1460</v>
      </c>
      <c r="I27" s="1203">
        <v>0.13539999999999999</v>
      </c>
      <c r="J27" s="1203">
        <v>1.9285714285714285E-5</v>
      </c>
      <c r="K27" s="1203">
        <v>1.8490566037735848E-6</v>
      </c>
      <c r="L27" s="1203">
        <v>3.8940000000000002E-2</v>
      </c>
      <c r="M27" s="1204">
        <f>I27+(J27*GWPs!$C$4)+(K27*GWPs!$C$5)</f>
        <v>0.13647950673854448</v>
      </c>
      <c r="Q27" s="1212" t="s">
        <v>274</v>
      </c>
      <c r="R27" s="1213">
        <f>SUMPRODUCT(L14:L18,S16:S20)/SUM($S$16:$S$20)</f>
        <v>8.6612792877105854E-2</v>
      </c>
      <c r="S27" s="1213">
        <f>SUMPRODUCT(M14:M18,$S$16:$S$20)/SUM($S$16:$S$20)</f>
        <v>0.3053162037870939</v>
      </c>
      <c r="U27" s="1214"/>
      <c r="Y27" s="1215"/>
      <c r="AF27" s="1210" t="s">
        <v>287</v>
      </c>
    </row>
    <row r="28" spans="1:32" ht="15">
      <c r="A28" s="30">
        <v>0</v>
      </c>
      <c r="B28" s="30" t="str">
        <f t="shared" si="2"/>
        <v>Cars_by_market_segmentLower mediumUnknown</v>
      </c>
      <c r="C28" s="30" t="s">
        <v>3927</v>
      </c>
      <c r="D28" s="30" t="s">
        <v>4000</v>
      </c>
      <c r="E28" s="1203" t="s">
        <v>280</v>
      </c>
      <c r="F28" s="1203" t="s">
        <v>1459</v>
      </c>
      <c r="G28" s="1203" t="s">
        <v>276</v>
      </c>
      <c r="H28" s="1203" t="s">
        <v>1460</v>
      </c>
      <c r="I28" s="1203">
        <v>0.24711</v>
      </c>
      <c r="J28" s="1203">
        <v>1.0357142857142857E-5</v>
      </c>
      <c r="K28" s="1203">
        <v>6.0377358490566044E-6</v>
      </c>
      <c r="L28" s="1203">
        <v>6.6199999999999995E-2</v>
      </c>
      <c r="M28" s="1204">
        <f>I28+(J28*GWPs!$C$4)+(K28*GWPs!$C$5)</f>
        <v>0.24906694474393531</v>
      </c>
      <c r="Q28" s="1212" t="s">
        <v>1480</v>
      </c>
      <c r="R28" s="1213">
        <f>SUMPRODUCT($L$59:$L$64,$S$16:$S$21)/SUM($S$16:$S$21)</f>
        <v>7.1951380088865133E-2</v>
      </c>
      <c r="S28" s="1213">
        <f>SUMPRODUCT($M$59:$M$64,$S$16:$S$21)/SUM($S$16:$S$21)</f>
        <v>0.25645400442066907</v>
      </c>
    </row>
    <row r="29" spans="1:32" ht="15">
      <c r="A29" s="30">
        <v>0</v>
      </c>
      <c r="B29" s="30" t="str">
        <f t="shared" si="2"/>
        <v>Cars_by_market_segmentLuxuryDiesel</v>
      </c>
      <c r="C29" s="30" t="s">
        <v>3927</v>
      </c>
      <c r="D29" s="30" t="s">
        <v>4000</v>
      </c>
      <c r="E29" s="1207" t="s">
        <v>281</v>
      </c>
      <c r="F29" s="1207" t="s">
        <v>1459</v>
      </c>
      <c r="G29" s="1207" t="s">
        <v>16</v>
      </c>
      <c r="H29" s="1207" t="s">
        <v>1460</v>
      </c>
      <c r="I29" s="1207">
        <v>0.32934000000000002</v>
      </c>
      <c r="J29" s="1207">
        <v>3.5714285714285716E-7</v>
      </c>
      <c r="K29" s="1207">
        <v>1.0150943396226416E-5</v>
      </c>
      <c r="L29" s="1207">
        <v>8.1449999999999995E-2</v>
      </c>
      <c r="M29" s="1208">
        <f>I29+(J29*GWPs!$C$4)+(K29*GWPs!$C$5)</f>
        <v>0.33212185040431269</v>
      </c>
      <c r="Q29" s="1216" t="s">
        <v>4001</v>
      </c>
      <c r="R29" s="1213">
        <f>AVERAGE(R27:R28)</f>
        <v>7.9282086482985487E-2</v>
      </c>
      <c r="S29" s="1213">
        <f>AVERAGE(S27:S28)</f>
        <v>0.28088510410388146</v>
      </c>
      <c r="AF29" s="1201" t="s">
        <v>36</v>
      </c>
    </row>
    <row r="30" spans="1:32">
      <c r="A30" s="30">
        <v>0</v>
      </c>
      <c r="B30" s="30" t="str">
        <f t="shared" si="2"/>
        <v>Cars_by_market_segmentLuxuryGasoline</v>
      </c>
      <c r="C30" s="30" t="s">
        <v>3927</v>
      </c>
      <c r="D30" s="30" t="s">
        <v>4000</v>
      </c>
      <c r="E30" s="1207" t="s">
        <v>281</v>
      </c>
      <c r="F30" s="1207" t="s">
        <v>1459</v>
      </c>
      <c r="G30" s="1207" t="s">
        <v>17</v>
      </c>
      <c r="H30" s="1207" t="s">
        <v>1460</v>
      </c>
      <c r="I30" s="1207">
        <v>0.49381000000000003</v>
      </c>
      <c r="J30" s="1207">
        <v>2.0357142857142855E-5</v>
      </c>
      <c r="K30" s="1207">
        <v>1.9622641509433961E-6</v>
      </c>
      <c r="L30" s="1207">
        <v>0.14402999999999999</v>
      </c>
      <c r="M30" s="1208">
        <f>I30+(J30*GWPs!$C$4)+(K30*GWPs!$C$5)</f>
        <v>0.4949523409703504</v>
      </c>
      <c r="AF30" s="1202" t="s">
        <v>288</v>
      </c>
    </row>
    <row r="31" spans="1:32">
      <c r="A31" s="30">
        <v>0</v>
      </c>
      <c r="B31" s="30" t="str">
        <f t="shared" si="2"/>
        <v>Cars_by_market_segmentLuxuryBattery Electric Vehicle</v>
      </c>
      <c r="C31" s="30" t="s">
        <v>3927</v>
      </c>
      <c r="D31" s="30" t="s">
        <v>4000</v>
      </c>
      <c r="E31" s="1207" t="s">
        <v>281</v>
      </c>
      <c r="F31" s="1207" t="s">
        <v>1459</v>
      </c>
      <c r="G31" s="1207" t="s">
        <v>278</v>
      </c>
      <c r="H31" s="1207" t="s">
        <v>1460</v>
      </c>
      <c r="I31" s="1207">
        <v>7.7929999999999999E-2</v>
      </c>
      <c r="J31" s="1207">
        <v>1.4285714285714287E-5</v>
      </c>
      <c r="K31" s="1207">
        <v>2.0754716981132075E-6</v>
      </c>
      <c r="L31" s="1207">
        <v>2.0469999999999999E-2</v>
      </c>
      <c r="M31" s="1208">
        <f>I31+(J31*GWPs!$C$4)+(K31*GWPs!$C$5)</f>
        <v>7.8922318059299182E-2</v>
      </c>
      <c r="Q31" s="56" t="s">
        <v>281</v>
      </c>
      <c r="R31" s="1213">
        <f>SUMPRODUCT(L29:L33,$S$16:$S$20)/SUM($S$16:$S$20)</f>
        <v>0.13911410178235981</v>
      </c>
      <c r="S31" s="1213">
        <f>SUMPRODUCT(M29:M33,$S$16:$S$20)/SUM($S$16:$S$20)</f>
        <v>0.48025936605663272</v>
      </c>
      <c r="AF31" s="1202" t="s">
        <v>289</v>
      </c>
    </row>
    <row r="32" spans="1:32">
      <c r="A32" s="30">
        <v>0</v>
      </c>
      <c r="B32" s="30" t="str">
        <f t="shared" si="2"/>
        <v>Cars_by_market_segmentLuxuryPlug-in Hybrid Electric Vehicle</v>
      </c>
      <c r="C32" s="30" t="s">
        <v>3927</v>
      </c>
      <c r="D32" s="30" t="s">
        <v>4000</v>
      </c>
      <c r="E32" s="1207" t="s">
        <v>281</v>
      </c>
      <c r="F32" s="1207" t="s">
        <v>1459</v>
      </c>
      <c r="G32" s="1207" t="s">
        <v>277</v>
      </c>
      <c r="H32" s="1207" t="s">
        <v>1460</v>
      </c>
      <c r="I32" s="1207">
        <v>0.19997000000000001</v>
      </c>
      <c r="J32" s="1207">
        <v>2.5714285714285714E-5</v>
      </c>
      <c r="K32" s="1207">
        <v>2.3773584905660377E-6</v>
      </c>
      <c r="L32" s="1207">
        <v>5.8409999999999997E-2</v>
      </c>
      <c r="M32" s="1208">
        <f>I32+(J32*GWPs!$C$4)+(K32*GWPs!$C$5)</f>
        <v>0.20138530458221027</v>
      </c>
      <c r="Q32" s="56" t="s">
        <v>283</v>
      </c>
      <c r="R32" s="1213">
        <f>SUMPRODUCT(L44:L48,$S$16:$S$20)/SUM($S$16:$S$20)</f>
        <v>0.10301520153681268</v>
      </c>
      <c r="S32" s="1213">
        <f>SUMPRODUCT(M44:M48,$S$16:$S$20)/SUM($S$16:$S$20)</f>
        <v>0.36777305522678611</v>
      </c>
      <c r="AF32" s="1202" t="s">
        <v>39</v>
      </c>
    </row>
    <row r="33" spans="1:32">
      <c r="A33" s="30">
        <v>0</v>
      </c>
      <c r="B33" s="30" t="str">
        <f t="shared" si="2"/>
        <v>Cars_by_market_segmentLuxuryUnknown</v>
      </c>
      <c r="C33" s="30" t="s">
        <v>3927</v>
      </c>
      <c r="D33" s="30" t="s">
        <v>4000</v>
      </c>
      <c r="E33" s="1207" t="s">
        <v>281</v>
      </c>
      <c r="F33" s="1207" t="s">
        <v>1459</v>
      </c>
      <c r="G33" s="1207" t="s">
        <v>276</v>
      </c>
      <c r="H33" s="1207" t="s">
        <v>1460</v>
      </c>
      <c r="I33" s="1207">
        <v>0.40355999999999997</v>
      </c>
      <c r="J33" s="1207">
        <v>9.9999999999999991E-6</v>
      </c>
      <c r="K33" s="1207">
        <v>6.2641509433962265E-6</v>
      </c>
      <c r="L33" s="1207">
        <v>0.10997999999999999</v>
      </c>
      <c r="M33" s="1208">
        <f>I33+(J33*GWPs!$C$4)+(K33*GWPs!$C$5)</f>
        <v>0.40556811320754715</v>
      </c>
      <c r="Q33" s="56" t="s">
        <v>274</v>
      </c>
      <c r="R33" s="1213">
        <f>SUMPRODUCT(L14:L18,$S$16:$S$20)/SUM($S$16:$S$20)</f>
        <v>8.6612792877105854E-2</v>
      </c>
      <c r="S33" s="1213">
        <f>SUMPRODUCT(M14:M18,$S$16:$S$20)/SUM($S$16:$S$20)</f>
        <v>0.3053162037870939</v>
      </c>
      <c r="AF33" s="1206" t="s">
        <v>290</v>
      </c>
    </row>
    <row r="34" spans="1:32">
      <c r="A34" s="30">
        <v>0</v>
      </c>
      <c r="B34" s="30" t="str">
        <f t="shared" si="2"/>
        <v>Cars_by_market_segmentMiniDiesel</v>
      </c>
      <c r="C34" s="30" t="s">
        <v>3927</v>
      </c>
      <c r="D34" s="30" t="s">
        <v>4000</v>
      </c>
      <c r="E34" s="1203" t="s">
        <v>287</v>
      </c>
      <c r="F34" s="1203" t="s">
        <v>1459</v>
      </c>
      <c r="G34" s="1203" t="s">
        <v>16</v>
      </c>
      <c r="H34" s="1203" t="s">
        <v>1460</v>
      </c>
      <c r="I34" s="1203">
        <v>0.17424999999999999</v>
      </c>
      <c r="J34" s="1203">
        <v>3.5714285714285716E-7</v>
      </c>
      <c r="K34" s="1203">
        <v>1.0150943396226416E-5</v>
      </c>
      <c r="L34" s="1203">
        <v>4.2049999999999997E-2</v>
      </c>
      <c r="M34" s="1204">
        <f>I34+(J34*GWPs!$C$4)+(K34*GWPs!$C$5)</f>
        <v>0.17703185040431266</v>
      </c>
      <c r="Q34" s="56" t="s">
        <v>284</v>
      </c>
      <c r="R34" s="1213">
        <f>SUMPRODUCT(L39:L43,$S$16:$S$20)/SUM($S$16:$S$20)</f>
        <v>8.0647342243175935E-2</v>
      </c>
      <c r="S34" s="1213">
        <f>SUMPRODUCT(M39:M43,$S$16:$S$20)/SUM($S$16:$S$20)</f>
        <v>0.28433892851351233</v>
      </c>
    </row>
    <row r="35" spans="1:32">
      <c r="A35" s="30">
        <v>0</v>
      </c>
      <c r="B35" s="30" t="str">
        <f t="shared" si="2"/>
        <v>Cars_by_market_segmentMiniGasoline</v>
      </c>
      <c r="C35" s="30" t="s">
        <v>3927</v>
      </c>
      <c r="D35" s="30" t="s">
        <v>4000</v>
      </c>
      <c r="E35" s="1203" t="s">
        <v>287</v>
      </c>
      <c r="F35" s="1203" t="s">
        <v>1459</v>
      </c>
      <c r="G35" s="1203" t="s">
        <v>17</v>
      </c>
      <c r="H35" s="1203" t="s">
        <v>1460</v>
      </c>
      <c r="I35" s="1203">
        <v>0.20913000000000001</v>
      </c>
      <c r="J35" s="1203">
        <v>2.0357142857142855E-5</v>
      </c>
      <c r="K35" s="1203">
        <v>1.9622641509433961E-6</v>
      </c>
      <c r="L35" s="1203">
        <v>5.8810000000000001E-2</v>
      </c>
      <c r="M35" s="1204">
        <f>I35+(J35*GWPs!$C$4)+(K35*GWPs!$C$5)</f>
        <v>0.21027234097035041</v>
      </c>
      <c r="Q35" s="56" t="s">
        <v>279</v>
      </c>
      <c r="R35" s="1213">
        <f>SUMPRODUCT(L19:L23,$S$16:$S$20)/SUM($S$16:$S$20)</f>
        <v>9.1091388534660242E-2</v>
      </c>
      <c r="S35" s="1213">
        <f>SUMPRODUCT(M19:M23,$S$16:$S$20)/SUM($S$16:$S$20)</f>
        <v>0.31596404449731436</v>
      </c>
      <c r="AF35" s="1201" t="s">
        <v>273</v>
      </c>
    </row>
    <row r="36" spans="1:32">
      <c r="A36" s="30">
        <v>0</v>
      </c>
      <c r="B36" s="30" t="str">
        <f t="shared" si="2"/>
        <v>Cars_by_market_segmentMiniBattery Electric Vehicle</v>
      </c>
      <c r="C36" s="30" t="s">
        <v>3927</v>
      </c>
      <c r="D36" s="30" t="s">
        <v>4000</v>
      </c>
      <c r="E36" s="1203" t="s">
        <v>287</v>
      </c>
      <c r="F36" s="1203" t="s">
        <v>1459</v>
      </c>
      <c r="G36" s="1203" t="s">
        <v>278</v>
      </c>
      <c r="H36" s="1203" t="s">
        <v>1460</v>
      </c>
      <c r="I36" s="1203">
        <v>5.2729999999999999E-2</v>
      </c>
      <c r="J36" s="1203">
        <v>1.0357142857142857E-5</v>
      </c>
      <c r="K36" s="1203">
        <v>1.5471698113207547E-6</v>
      </c>
      <c r="L36" s="1203">
        <v>1.37E-2</v>
      </c>
      <c r="M36" s="1204">
        <f>I36+(J36*GWPs!$C$4)+(K36*GWPs!$C$5)</f>
        <v>5.3461020215633419E-2</v>
      </c>
      <c r="Q36" s="56" t="s">
        <v>285</v>
      </c>
      <c r="R36" s="1213">
        <f>SUMPRODUCT(L54:L58,$S$16:$S$20)/SUM($S$16:$S$20)</f>
        <v>8.3070642360240352E-2</v>
      </c>
      <c r="S36" s="1213">
        <f>SUMPRODUCT(M54:M58,$S$16:$S$20)/SUM($S$16:$S$20)</f>
        <v>0.2922796243540241</v>
      </c>
      <c r="AF36" s="1202" t="s">
        <v>291</v>
      </c>
    </row>
    <row r="37" spans="1:32">
      <c r="A37" s="30">
        <v>0</v>
      </c>
      <c r="B37" s="30" t="str">
        <f t="shared" si="2"/>
        <v>Cars_by_market_segmentMiniPlug-in Hybrid Electric Vehicle</v>
      </c>
      <c r="C37" s="30" t="s">
        <v>3927</v>
      </c>
      <c r="D37" s="30" t="s">
        <v>4000</v>
      </c>
      <c r="E37" s="1203" t="s">
        <v>287</v>
      </c>
      <c r="F37" s="1203" t="s">
        <v>1459</v>
      </c>
      <c r="G37" s="1203" t="s">
        <v>277</v>
      </c>
      <c r="H37" s="1203" t="s">
        <v>1460</v>
      </c>
      <c r="I37" s="1203">
        <v>0</v>
      </c>
      <c r="J37" s="1203">
        <v>0</v>
      </c>
      <c r="K37" s="1203">
        <v>0</v>
      </c>
      <c r="L37" s="1203">
        <v>0</v>
      </c>
      <c r="M37" s="1204">
        <f>I37+(J37*GWPs!$C$4)+(K37*GWPs!$C$5)</f>
        <v>0</v>
      </c>
      <c r="Q37" s="56" t="s">
        <v>280</v>
      </c>
      <c r="R37" s="1213">
        <f>SUMPRODUCT(L24:L28,$S$16:$S$20)/SUM($S$16:$S$20)</f>
        <v>7.1955312169967131E-2</v>
      </c>
      <c r="S37" s="1213">
        <f>SUMPRODUCT(M24:M28,$S$16:$S$20)/SUM($S$16:$S$20)</f>
        <v>0.2547018753096863</v>
      </c>
      <c r="AF37" s="1202" t="s">
        <v>292</v>
      </c>
    </row>
    <row r="38" spans="1:32">
      <c r="A38" s="30">
        <v>0</v>
      </c>
      <c r="B38" s="30" t="str">
        <f t="shared" si="2"/>
        <v>Cars_by_market_segmentMiniUnknown</v>
      </c>
      <c r="C38" s="30" t="s">
        <v>3927</v>
      </c>
      <c r="D38" s="30" t="s">
        <v>4000</v>
      </c>
      <c r="E38" s="1203" t="s">
        <v>287</v>
      </c>
      <c r="F38" s="1203" t="s">
        <v>1459</v>
      </c>
      <c r="G38" s="1203" t="s">
        <v>276</v>
      </c>
      <c r="H38" s="1203" t="s">
        <v>1460</v>
      </c>
      <c r="I38" s="1203">
        <v>0.20891999999999999</v>
      </c>
      <c r="J38" s="1203">
        <v>1.9999999999999998E-5</v>
      </c>
      <c r="K38" s="1203">
        <v>2.0377358490566037E-6</v>
      </c>
      <c r="L38" s="1203">
        <v>5.8709999999999998E-2</v>
      </c>
      <c r="M38" s="1204">
        <f>I38+(J38*GWPs!$C$4)+(K38*GWPs!$C$5)</f>
        <v>0.21007230188679246</v>
      </c>
      <c r="Q38" s="56" t="s">
        <v>286</v>
      </c>
      <c r="R38" s="1213">
        <f>SUMPRODUCT(L49:L53,$S$16:$S$20)/SUM($S$16:$S$20)</f>
        <v>6.3203391687680271E-2</v>
      </c>
      <c r="S38" s="1213">
        <f>SUMPRODUCT(M49:M53,$S$16:$S$20)/SUM($S$16:$S$20)</f>
        <v>0.22584781989552261</v>
      </c>
      <c r="AF38" s="1202" t="s">
        <v>293</v>
      </c>
    </row>
    <row r="39" spans="1:32">
      <c r="A39" s="30">
        <v>0</v>
      </c>
      <c r="B39" s="30" t="str">
        <f t="shared" si="2"/>
        <v>Cars_by_market_segmentMPVDiesel</v>
      </c>
      <c r="C39" s="30" t="s">
        <v>3927</v>
      </c>
      <c r="D39" s="30" t="s">
        <v>4000</v>
      </c>
      <c r="E39" s="1207" t="s">
        <v>284</v>
      </c>
      <c r="F39" s="1207" t="s">
        <v>1459</v>
      </c>
      <c r="G39" s="1207" t="s">
        <v>16</v>
      </c>
      <c r="H39" s="1207" t="s">
        <v>1460</v>
      </c>
      <c r="I39" s="1207">
        <v>0.28814000000000001</v>
      </c>
      <c r="J39" s="1207">
        <v>3.5714285714285716E-7</v>
      </c>
      <c r="K39" s="1207">
        <v>1.0150943396226416E-5</v>
      </c>
      <c r="L39" s="1207">
        <v>6.9769999999999999E-2</v>
      </c>
      <c r="M39" s="1208">
        <f>I39+(J39*GWPs!$C$4)+(K39*GWPs!$C$5)</f>
        <v>0.29092185040431268</v>
      </c>
      <c r="Q39" s="56" t="s">
        <v>287</v>
      </c>
      <c r="R39" s="1213">
        <f>SUMPRODUCT(L34:L38,$S$16:$S$20)/SUM($S$16:$S$20)</f>
        <v>5.7160205031670706E-2</v>
      </c>
      <c r="S39" s="1213">
        <f>SUMPRODUCT(M34:M38,$S$16:$S$20)/SUM($S$16:$S$20)</f>
        <v>0.20541487784701901</v>
      </c>
      <c r="AF39" s="1206" t="s">
        <v>294</v>
      </c>
    </row>
    <row r="40" spans="1:32">
      <c r="A40" s="30">
        <v>0</v>
      </c>
      <c r="B40" s="30" t="str">
        <f t="shared" si="2"/>
        <v>Cars_by_market_segmentMPVGasoline</v>
      </c>
      <c r="C40" s="30" t="s">
        <v>3927</v>
      </c>
      <c r="D40" s="30" t="s">
        <v>4000</v>
      </c>
      <c r="E40" s="1207" t="s">
        <v>284</v>
      </c>
      <c r="F40" s="1207" t="s">
        <v>1459</v>
      </c>
      <c r="G40" s="1207" t="s">
        <v>17</v>
      </c>
      <c r="H40" s="1207" t="s">
        <v>1460</v>
      </c>
      <c r="I40" s="1207">
        <v>0.28703000000000001</v>
      </c>
      <c r="J40" s="1207">
        <v>2.0357142857142855E-5</v>
      </c>
      <c r="K40" s="1207">
        <v>1.9622641509433961E-6</v>
      </c>
      <c r="L40" s="1207">
        <v>8.2309999999999994E-2</v>
      </c>
      <c r="M40" s="1208">
        <f>I40+(J40*GWPs!$C$4)+(K40*GWPs!$C$5)</f>
        <v>0.28817234097035038</v>
      </c>
    </row>
    <row r="41" spans="1:32">
      <c r="A41" s="30">
        <v>0</v>
      </c>
      <c r="B41" s="30" t="str">
        <f t="shared" si="2"/>
        <v>Cars_by_market_segmentMPVBattery Electric Vehicle</v>
      </c>
      <c r="C41" s="30" t="s">
        <v>3927</v>
      </c>
      <c r="D41" s="30" t="s">
        <v>4000</v>
      </c>
      <c r="E41" s="1207" t="s">
        <v>284</v>
      </c>
      <c r="F41" s="1207" t="s">
        <v>1459</v>
      </c>
      <c r="G41" s="1207" t="s">
        <v>278</v>
      </c>
      <c r="H41" s="1207" t="s">
        <v>1460</v>
      </c>
      <c r="I41" s="1207">
        <v>8.2619999999999999E-2</v>
      </c>
      <c r="J41" s="1207">
        <v>1.6785714285714285E-5</v>
      </c>
      <c r="K41" s="1207">
        <v>2.4150943396226415E-6</v>
      </c>
      <c r="L41" s="1207">
        <v>2.341E-2</v>
      </c>
      <c r="M41" s="1208">
        <f>I41+(J41*GWPs!$C$4)+(K41*GWPs!$C$5)</f>
        <v>8.3779535040431258E-2</v>
      </c>
      <c r="Q41" s="56" t="s">
        <v>9</v>
      </c>
      <c r="R41" s="1213">
        <f>$L$88*Conversions!$F$55</f>
        <v>4.2631522560000003E-2</v>
      </c>
      <c r="S41" s="1213">
        <f>$M$88*Conversions!$F$55</f>
        <v>0.16716687527624799</v>
      </c>
      <c r="AF41" s="1201" t="s">
        <v>275</v>
      </c>
    </row>
    <row r="42" spans="1:32">
      <c r="A42" s="30">
        <v>0</v>
      </c>
      <c r="B42" s="30" t="str">
        <f t="shared" si="2"/>
        <v>Cars_by_market_segmentMPVPlug-in Hybrid Electric Vehicle</v>
      </c>
      <c r="C42" s="30" t="s">
        <v>3927</v>
      </c>
      <c r="D42" s="30" t="s">
        <v>4000</v>
      </c>
      <c r="E42" s="1207" t="s">
        <v>284</v>
      </c>
      <c r="F42" s="1207" t="s">
        <v>1459</v>
      </c>
      <c r="G42" s="1207" t="s">
        <v>277</v>
      </c>
      <c r="H42" s="1207" t="s">
        <v>1460</v>
      </c>
      <c r="I42" s="1207">
        <v>0.16281000000000001</v>
      </c>
      <c r="J42" s="1207">
        <v>2.2142857142857141E-5</v>
      </c>
      <c r="K42" s="1207">
        <v>2.3773584905660377E-6</v>
      </c>
      <c r="L42" s="1207">
        <v>4.369E-2</v>
      </c>
      <c r="M42" s="1208">
        <f>I42+(J42*GWPs!$C$4)+(K42*GWPs!$C$5)</f>
        <v>0.16411887601078171</v>
      </c>
      <c r="Q42" s="56" t="s">
        <v>36</v>
      </c>
      <c r="R42" s="1213">
        <f>$L$93</f>
        <v>4.7570000000000001E-2</v>
      </c>
      <c r="S42" s="1213">
        <f>$M$93</f>
        <v>0.18313792991913747</v>
      </c>
      <c r="AF42" s="1202" t="s">
        <v>295</v>
      </c>
    </row>
    <row r="43" spans="1:32">
      <c r="A43" s="30">
        <v>0</v>
      </c>
      <c r="B43" s="30" t="str">
        <f t="shared" si="2"/>
        <v>Cars_by_market_segmentMPVUnknown</v>
      </c>
      <c r="C43" s="30" t="s">
        <v>3927</v>
      </c>
      <c r="D43" s="30" t="s">
        <v>4000</v>
      </c>
      <c r="E43" s="1207" t="s">
        <v>284</v>
      </c>
      <c r="F43" s="1207" t="s">
        <v>1459</v>
      </c>
      <c r="G43" s="1207" t="s">
        <v>276</v>
      </c>
      <c r="H43" s="1207" t="s">
        <v>1460</v>
      </c>
      <c r="I43" s="1207">
        <v>0.28788999999999998</v>
      </c>
      <c r="J43" s="1207">
        <v>5.7142857142857145E-6</v>
      </c>
      <c r="K43" s="1207">
        <v>7.9999999999999996E-6</v>
      </c>
      <c r="L43" s="1207">
        <v>7.3029999999999998E-2</v>
      </c>
      <c r="M43" s="1208">
        <f>I43+(J43*GWPs!$C$4)+(K43*GWPs!$C$5)</f>
        <v>0.29024428571428573</v>
      </c>
      <c r="Q43" s="56" t="s">
        <v>273</v>
      </c>
      <c r="R43" s="1213">
        <f>$L$103*Conversions!$F$55</f>
        <v>1.4435815680000002E-2</v>
      </c>
      <c r="S43" s="1213">
        <f>$M$103*Conversions!$F$55</f>
        <v>5.7089218377832887E-2</v>
      </c>
      <c r="T43" s="269" t="s">
        <v>294</v>
      </c>
      <c r="V43" s="269"/>
      <c r="AF43" s="1206" t="s">
        <v>296</v>
      </c>
    </row>
    <row r="44" spans="1:32">
      <c r="A44" s="30">
        <v>0</v>
      </c>
      <c r="B44" s="30" t="str">
        <f t="shared" si="2"/>
        <v>Cars_by_market_segmentSportsDiesel</v>
      </c>
      <c r="C44" s="30" t="s">
        <v>3927</v>
      </c>
      <c r="D44" s="30" t="s">
        <v>4000</v>
      </c>
      <c r="E44" s="1203" t="s">
        <v>283</v>
      </c>
      <c r="F44" s="1203" t="s">
        <v>1459</v>
      </c>
      <c r="G44" s="1203" t="s">
        <v>16</v>
      </c>
      <c r="H44" s="1203" t="s">
        <v>1460</v>
      </c>
      <c r="I44" s="1203">
        <v>0.27607999999999999</v>
      </c>
      <c r="J44" s="1203">
        <v>3.5714285714285716E-7</v>
      </c>
      <c r="K44" s="1203">
        <v>1.0150943396226416E-5</v>
      </c>
      <c r="L44" s="1203">
        <v>6.6860000000000003E-2</v>
      </c>
      <c r="M44" s="1204">
        <f>I44+(J44*GWPs!$C$4)+(K44*GWPs!$C$5)</f>
        <v>0.27886185040431266</v>
      </c>
      <c r="Q44" s="56" t="s">
        <v>275</v>
      </c>
      <c r="R44" s="1213">
        <f>$L$107*Conversions!$F$55</f>
        <v>5.949744768000001E-2</v>
      </c>
      <c r="S44" s="1213">
        <f>$M$107*Conversions!$F$55</f>
        <v>0.23922810504469758</v>
      </c>
    </row>
    <row r="45" spans="1:32">
      <c r="A45" s="30">
        <v>0</v>
      </c>
      <c r="B45" s="30" t="str">
        <f t="shared" si="2"/>
        <v>Cars_by_market_segmentSportsGasoline</v>
      </c>
      <c r="C45" s="30" t="s">
        <v>3927</v>
      </c>
      <c r="D45" s="30" t="s">
        <v>4000</v>
      </c>
      <c r="E45" s="1203" t="s">
        <v>283</v>
      </c>
      <c r="F45" s="1203" t="s">
        <v>1459</v>
      </c>
      <c r="G45" s="1203" t="s">
        <v>17</v>
      </c>
      <c r="H45" s="1203" t="s">
        <v>1460</v>
      </c>
      <c r="I45" s="1203">
        <v>0.37542999999999999</v>
      </c>
      <c r="J45" s="1203">
        <v>2.0357142857142855E-5</v>
      </c>
      <c r="K45" s="1203">
        <v>1.9622641509433961E-6</v>
      </c>
      <c r="L45" s="1203">
        <v>0.10600999999999999</v>
      </c>
      <c r="M45" s="1204">
        <f>I45+(J45*GWPs!$C$4)+(K45*GWPs!$C$5)</f>
        <v>0.37657234097035036</v>
      </c>
      <c r="Q45" s="1217" t="s">
        <v>4073</v>
      </c>
      <c r="R45" s="1218">
        <f>L60</f>
        <v>7.4010000000000006E-2</v>
      </c>
      <c r="S45" s="1218">
        <f>M60</f>
        <v>0.26192234097035039</v>
      </c>
      <c r="AF45" s="30" t="s">
        <v>282</v>
      </c>
    </row>
    <row r="46" spans="1:32">
      <c r="A46" s="30">
        <v>0</v>
      </c>
      <c r="B46" s="30" t="str">
        <f t="shared" si="2"/>
        <v>Cars_by_market_segmentSportsBattery Electric Vehicle</v>
      </c>
      <c r="C46" s="30" t="s">
        <v>3927</v>
      </c>
      <c r="D46" s="30" t="s">
        <v>4000</v>
      </c>
      <c r="E46" s="1203" t="s">
        <v>283</v>
      </c>
      <c r="F46" s="1203" t="s">
        <v>1459</v>
      </c>
      <c r="G46" s="1203" t="s">
        <v>278</v>
      </c>
      <c r="H46" s="1203" t="s">
        <v>1460</v>
      </c>
      <c r="I46" s="1203">
        <v>9.9559999999999996E-2</v>
      </c>
      <c r="J46" s="1203">
        <v>1.7857142857142858E-5</v>
      </c>
      <c r="K46" s="1203">
        <v>2.5660377358490568E-6</v>
      </c>
      <c r="L46" s="1203">
        <v>2.6190000000000001E-2</v>
      </c>
      <c r="M46" s="1204">
        <f>I46+(J46*GWPs!$C$4)+(K46*GWPs!$C$5)</f>
        <v>0.10079267115902965</v>
      </c>
      <c r="Q46" s="1042" t="s">
        <v>4074</v>
      </c>
      <c r="R46" s="1219">
        <f>L63</f>
        <v>7.0790000000000006E-2</v>
      </c>
      <c r="S46" s="1219">
        <f>M63</f>
        <v>0.26921668194070081</v>
      </c>
      <c r="AF46" s="56" t="s">
        <v>278</v>
      </c>
    </row>
    <row r="47" spans="1:32">
      <c r="A47" s="30">
        <v>0</v>
      </c>
      <c r="B47" s="30" t="str">
        <f t="shared" si="2"/>
        <v>Cars_by_market_segmentSportsPlug-in Hybrid Electric Vehicle</v>
      </c>
      <c r="C47" s="30" t="s">
        <v>3927</v>
      </c>
      <c r="D47" s="30" t="s">
        <v>4000</v>
      </c>
      <c r="E47" s="1203" t="s">
        <v>283</v>
      </c>
      <c r="F47" s="1203" t="s">
        <v>1459</v>
      </c>
      <c r="G47" s="1203" t="s">
        <v>277</v>
      </c>
      <c r="H47" s="1203" t="s">
        <v>1460</v>
      </c>
      <c r="I47" s="1203">
        <v>0.23877000000000001</v>
      </c>
      <c r="J47" s="1203">
        <v>2.0357142857142855E-5</v>
      </c>
      <c r="K47" s="1203">
        <v>1.8867924528301887E-6</v>
      </c>
      <c r="L47" s="1203">
        <v>5.8169999999999999E-2</v>
      </c>
      <c r="M47" s="1204">
        <f>I47+(J47*GWPs!$C$4)+(K47*GWPs!$C$5)</f>
        <v>0.23989173719676549</v>
      </c>
      <c r="AF47" s="56" t="s">
        <v>16</v>
      </c>
    </row>
    <row r="48" spans="1:32">
      <c r="A48" s="30">
        <v>0</v>
      </c>
      <c r="B48" s="30" t="str">
        <f t="shared" si="2"/>
        <v>Cars_by_market_segmentSportsUnknown</v>
      </c>
      <c r="C48" s="30" t="s">
        <v>3927</v>
      </c>
      <c r="D48" s="30" t="s">
        <v>4000</v>
      </c>
      <c r="E48" s="1203" t="s">
        <v>283</v>
      </c>
      <c r="F48" s="1203" t="s">
        <v>1459</v>
      </c>
      <c r="G48" s="1203" t="s">
        <v>276</v>
      </c>
      <c r="H48" s="1203" t="s">
        <v>1460</v>
      </c>
      <c r="I48" s="1203">
        <v>0.35914000000000001</v>
      </c>
      <c r="J48" s="1203">
        <v>1.7142857142857142E-5</v>
      </c>
      <c r="K48" s="1203">
        <v>3.2452830188679243E-6</v>
      </c>
      <c r="L48" s="1203">
        <v>9.9909999999999999E-2</v>
      </c>
      <c r="M48" s="1204">
        <f>I48+(J48*GWPs!$C$4)+(K48*GWPs!$C$5)</f>
        <v>0.3605368194070081</v>
      </c>
      <c r="AF48" s="56" t="s">
        <v>17</v>
      </c>
    </row>
    <row r="49" spans="1:32">
      <c r="A49" s="30">
        <v>0</v>
      </c>
      <c r="B49" s="30" t="str">
        <f t="shared" si="2"/>
        <v>Cars_by_market_segmentSuperminiDiesel</v>
      </c>
      <c r="C49" s="30" t="s">
        <v>3927</v>
      </c>
      <c r="D49" s="30" t="s">
        <v>4000</v>
      </c>
      <c r="E49" s="1207" t="s">
        <v>286</v>
      </c>
      <c r="F49" s="1207" t="s">
        <v>1459</v>
      </c>
      <c r="G49" s="1207" t="s">
        <v>16</v>
      </c>
      <c r="H49" s="1207" t="s">
        <v>1460</v>
      </c>
      <c r="I49" s="1207">
        <v>0.21378</v>
      </c>
      <c r="J49" s="1207">
        <v>3.5714285714285716E-7</v>
      </c>
      <c r="K49" s="1207">
        <v>1.0150943396226416E-5</v>
      </c>
      <c r="L49" s="1207">
        <v>5.1619999999999999E-2</v>
      </c>
      <c r="M49" s="1208">
        <f>I49+(J49*GWPs!$C$4)+(K49*GWPs!$C$5)</f>
        <v>0.21656185040431267</v>
      </c>
      <c r="AF49" s="56" t="s">
        <v>277</v>
      </c>
    </row>
    <row r="50" spans="1:32">
      <c r="A50" s="30">
        <v>0</v>
      </c>
      <c r="B50" s="30" t="str">
        <f t="shared" si="2"/>
        <v>Cars_by_market_segmentSuperminiGasoline</v>
      </c>
      <c r="C50" s="30" t="s">
        <v>3927</v>
      </c>
      <c r="D50" s="30" t="s">
        <v>4000</v>
      </c>
      <c r="E50" s="1207" t="s">
        <v>286</v>
      </c>
      <c r="F50" s="1207" t="s">
        <v>1459</v>
      </c>
      <c r="G50" s="1207" t="s">
        <v>17</v>
      </c>
      <c r="H50" s="1207" t="s">
        <v>1460</v>
      </c>
      <c r="I50" s="1207">
        <v>0.22864999999999999</v>
      </c>
      <c r="J50" s="1207">
        <v>2.0357142857142855E-5</v>
      </c>
      <c r="K50" s="1207">
        <v>1.9622641509433961E-6</v>
      </c>
      <c r="L50" s="1207">
        <v>6.4689999999999998E-2</v>
      </c>
      <c r="M50" s="1208">
        <f>I50+(J50*GWPs!$C$4)+(K50*GWPs!$C$5)</f>
        <v>0.22979234097035039</v>
      </c>
      <c r="AF50" s="56" t="s">
        <v>276</v>
      </c>
    </row>
    <row r="51" spans="1:32">
      <c r="A51" s="30">
        <v>0</v>
      </c>
      <c r="B51" s="30" t="str">
        <f t="shared" si="2"/>
        <v>Cars_by_market_segmentSuperminiBattery Electric Vehicle</v>
      </c>
      <c r="C51" s="30" t="s">
        <v>3927</v>
      </c>
      <c r="D51" s="30" t="s">
        <v>4000</v>
      </c>
      <c r="E51" s="1207" t="s">
        <v>286</v>
      </c>
      <c r="F51" s="1207" t="s">
        <v>1459</v>
      </c>
      <c r="G51" s="1207" t="s">
        <v>278</v>
      </c>
      <c r="H51" s="1207" t="s">
        <v>1460</v>
      </c>
      <c r="I51" s="1207">
        <v>6.0040000000000003E-2</v>
      </c>
      <c r="J51" s="1207">
        <v>1.1071428571428571E-5</v>
      </c>
      <c r="K51" s="1207">
        <v>1.6226415094339621E-6</v>
      </c>
      <c r="L51" s="1207">
        <v>1.5630000000000002E-2</v>
      </c>
      <c r="M51" s="1208">
        <f>I51+(J51*GWPs!$C$4)+(K51*GWPs!$C$5)</f>
        <v>6.0812909703504045E-2</v>
      </c>
    </row>
    <row r="52" spans="1:32">
      <c r="A52" s="30">
        <v>0</v>
      </c>
      <c r="B52" s="30" t="str">
        <f t="shared" si="2"/>
        <v>Cars_by_market_segmentSuperminiPlug-in Hybrid Electric Vehicle</v>
      </c>
      <c r="C52" s="30" t="s">
        <v>3927</v>
      </c>
      <c r="D52" s="30" t="s">
        <v>4000</v>
      </c>
      <c r="E52" s="1207" t="s">
        <v>286</v>
      </c>
      <c r="F52" s="1207" t="s">
        <v>1459</v>
      </c>
      <c r="G52" s="1207" t="s">
        <v>277</v>
      </c>
      <c r="H52" s="1207" t="s">
        <v>1460</v>
      </c>
      <c r="I52" s="1207">
        <v>9.0469999999999995E-2</v>
      </c>
      <c r="J52" s="1207">
        <v>1.2857142857142857E-5</v>
      </c>
      <c r="K52" s="1207">
        <v>1.5094339622641511E-6</v>
      </c>
      <c r="L52" s="1207">
        <v>2.4459999999999999E-2</v>
      </c>
      <c r="M52" s="1208">
        <f>I52+(J52*GWPs!$C$4)+(K52*GWPs!$C$5)</f>
        <v>9.1265218328840964E-2</v>
      </c>
    </row>
    <row r="53" spans="1:32">
      <c r="A53" s="30">
        <v>0</v>
      </c>
      <c r="B53" s="30" t="str">
        <f t="shared" si="2"/>
        <v>Cars_by_market_segmentSuperminiUnknown</v>
      </c>
      <c r="C53" s="30" t="s">
        <v>3927</v>
      </c>
      <c r="D53" s="30" t="s">
        <v>4000</v>
      </c>
      <c r="E53" s="1207" t="s">
        <v>286</v>
      </c>
      <c r="F53" s="1207" t="s">
        <v>1459</v>
      </c>
      <c r="G53" s="1207" t="s">
        <v>276</v>
      </c>
      <c r="H53" s="1207" t="s">
        <v>1460</v>
      </c>
      <c r="I53" s="1207">
        <v>0.2271</v>
      </c>
      <c r="J53" s="1207">
        <v>1.7142857142857142E-5</v>
      </c>
      <c r="K53" s="1207">
        <v>3.1698113207547171E-6</v>
      </c>
      <c r="L53" s="1207">
        <v>6.3240000000000005E-2</v>
      </c>
      <c r="M53" s="1208">
        <f>I53+(J53*GWPs!$C$4)+(K53*GWPs!$C$5)</f>
        <v>0.22847621563342319</v>
      </c>
    </row>
    <row r="54" spans="1:32">
      <c r="A54" s="30">
        <v>0</v>
      </c>
      <c r="B54" s="30" t="str">
        <f t="shared" si="2"/>
        <v>Cars_by_market_segmentUpper mediumDiesel</v>
      </c>
      <c r="C54" s="30" t="s">
        <v>3927</v>
      </c>
      <c r="D54" s="30" t="s">
        <v>4000</v>
      </c>
      <c r="E54" s="1203" t="s">
        <v>285</v>
      </c>
      <c r="F54" s="1203" t="s">
        <v>1459</v>
      </c>
      <c r="G54" s="1203" t="s">
        <v>16</v>
      </c>
      <c r="H54" s="1203" t="s">
        <v>1460</v>
      </c>
      <c r="I54" s="1203">
        <v>0.25791999999999998</v>
      </c>
      <c r="J54" s="1203">
        <v>3.5714285714285716E-7</v>
      </c>
      <c r="K54" s="1203">
        <v>1.0150943396226416E-5</v>
      </c>
      <c r="L54" s="1203">
        <v>6.3009999999999997E-2</v>
      </c>
      <c r="M54" s="1204">
        <f>I54+(J54*GWPs!$C$4)+(K54*GWPs!$C$5)</f>
        <v>0.26070185040431265</v>
      </c>
    </row>
    <row r="55" spans="1:32">
      <c r="A55" s="30">
        <v>0</v>
      </c>
      <c r="B55" s="30" t="str">
        <f t="shared" si="2"/>
        <v>Cars_by_market_segmentUpper mediumGasoline</v>
      </c>
      <c r="C55" s="30" t="s">
        <v>3927</v>
      </c>
      <c r="D55" s="30" t="s">
        <v>4000</v>
      </c>
      <c r="E55" s="1203" t="s">
        <v>285</v>
      </c>
      <c r="F55" s="1203" t="s">
        <v>1459</v>
      </c>
      <c r="G55" s="1203" t="s">
        <v>17</v>
      </c>
      <c r="H55" s="1203" t="s">
        <v>1460</v>
      </c>
      <c r="I55" s="1203">
        <v>0.29719000000000001</v>
      </c>
      <c r="J55" s="1203">
        <v>2.0357142857142855E-5</v>
      </c>
      <c r="K55" s="1203">
        <v>1.9622641509433961E-6</v>
      </c>
      <c r="L55" s="1203">
        <v>8.5309999999999997E-2</v>
      </c>
      <c r="M55" s="1204">
        <f>I55+(J55*GWPs!$C$4)+(K55*GWPs!$C$5)</f>
        <v>0.29833234097035038</v>
      </c>
    </row>
    <row r="56" spans="1:32">
      <c r="A56" s="30">
        <v>0</v>
      </c>
      <c r="B56" s="30" t="str">
        <f t="shared" si="2"/>
        <v>Cars_by_market_segmentUpper mediumBattery Electric Vehicle</v>
      </c>
      <c r="C56" s="30" t="s">
        <v>3927</v>
      </c>
      <c r="D56" s="30" t="s">
        <v>4000</v>
      </c>
      <c r="E56" s="1203" t="s">
        <v>285</v>
      </c>
      <c r="F56" s="1203" t="s">
        <v>1459</v>
      </c>
      <c r="G56" s="1203" t="s">
        <v>278</v>
      </c>
      <c r="H56" s="1203" t="s">
        <v>1460</v>
      </c>
      <c r="I56" s="1203">
        <v>6.6610000000000003E-2</v>
      </c>
      <c r="J56" s="1203">
        <v>9.2857142857142842E-6</v>
      </c>
      <c r="K56" s="1203">
        <v>1.358490566037736E-6</v>
      </c>
      <c r="L56" s="1203">
        <v>1.6799999999999999E-2</v>
      </c>
      <c r="M56" s="1204">
        <f>I56+(J56*GWPs!$C$4)+(K56*GWPs!$C$5)</f>
        <v>6.7257582210242584E-2</v>
      </c>
    </row>
    <row r="57" spans="1:32">
      <c r="A57" s="30">
        <v>0</v>
      </c>
      <c r="B57" s="30" t="str">
        <f t="shared" si="2"/>
        <v>Cars_by_market_segmentUpper mediumPlug-in Hybrid Electric Vehicle</v>
      </c>
      <c r="C57" s="30" t="s">
        <v>3927</v>
      </c>
      <c r="D57" s="30" t="s">
        <v>4000</v>
      </c>
      <c r="E57" s="1203" t="s">
        <v>285</v>
      </c>
      <c r="F57" s="1203" t="s">
        <v>1459</v>
      </c>
      <c r="G57" s="1203" t="s">
        <v>277</v>
      </c>
      <c r="H57" s="1203" t="s">
        <v>1460</v>
      </c>
      <c r="I57" s="1203">
        <v>0.14652000000000001</v>
      </c>
      <c r="J57" s="1203">
        <v>1.9999999999999998E-5</v>
      </c>
      <c r="K57" s="1203">
        <v>1.9999999999999999E-6</v>
      </c>
      <c r="L57" s="1203">
        <v>4.231E-2</v>
      </c>
      <c r="M57" s="1204">
        <f>I57+(J57*GWPs!$C$4)+(K57*GWPs!$C$5)</f>
        <v>0.14766200000000002</v>
      </c>
    </row>
    <row r="58" spans="1:32">
      <c r="A58" s="30">
        <v>0</v>
      </c>
      <c r="B58" s="30" t="str">
        <f t="shared" si="2"/>
        <v>Cars_by_market_segmentUpper mediumUnknown</v>
      </c>
      <c r="C58" s="30" t="s">
        <v>3927</v>
      </c>
      <c r="D58" s="30" t="s">
        <v>4000</v>
      </c>
      <c r="E58" s="1203" t="s">
        <v>285</v>
      </c>
      <c r="F58" s="1203" t="s">
        <v>1459</v>
      </c>
      <c r="G58" s="1203" t="s">
        <v>276</v>
      </c>
      <c r="H58" s="1203" t="s">
        <v>1460</v>
      </c>
      <c r="I58" s="1203">
        <v>0.26723999999999998</v>
      </c>
      <c r="J58" s="1203">
        <v>4.2857142857142855E-6</v>
      </c>
      <c r="K58" s="1203">
        <v>8.3773584905660387E-6</v>
      </c>
      <c r="L58" s="1203">
        <v>6.8470000000000003E-2</v>
      </c>
      <c r="M58" s="1204">
        <f>I58+(J58*GWPs!$C$4)+(K58*GWPs!$C$5)</f>
        <v>0.2696547331536388</v>
      </c>
    </row>
    <row r="59" spans="1:32">
      <c r="A59" s="30">
        <v>0</v>
      </c>
      <c r="B59" s="30" t="str">
        <f t="shared" si="2"/>
        <v>Cars_by_market_segmentAverage carDiesel</v>
      </c>
      <c r="C59" s="30" t="s">
        <v>3927</v>
      </c>
      <c r="D59" s="30" t="s">
        <v>1479</v>
      </c>
      <c r="E59" s="1207" t="s">
        <v>1480</v>
      </c>
      <c r="F59" s="1207" t="s">
        <v>1459</v>
      </c>
      <c r="G59" s="1207" t="s">
        <v>16</v>
      </c>
      <c r="H59" s="1207" t="s">
        <v>1460</v>
      </c>
      <c r="I59" s="1207">
        <v>0.27578000000000003</v>
      </c>
      <c r="J59" s="1207">
        <v>3.5714285714285716E-7</v>
      </c>
      <c r="K59" s="1207">
        <v>1.0150943396226416E-5</v>
      </c>
      <c r="L59" s="1207">
        <v>6.6729999999999998E-2</v>
      </c>
      <c r="M59" s="1208">
        <f>I59+(J59*GWPs!$C$4)+(K59*GWPs!$C$5)</f>
        <v>0.27856185040431269</v>
      </c>
    </row>
    <row r="60" spans="1:32">
      <c r="A60" s="30">
        <v>0</v>
      </c>
      <c r="B60" s="30" t="str">
        <f t="shared" si="2"/>
        <v>Cars_by_market_segmentAverage carGasoline</v>
      </c>
      <c r="C60" s="30" t="s">
        <v>3927</v>
      </c>
      <c r="D60" s="30" t="s">
        <v>1479</v>
      </c>
      <c r="E60" s="1207" t="s">
        <v>1480</v>
      </c>
      <c r="F60" s="1207" t="s">
        <v>1459</v>
      </c>
      <c r="G60" s="1207" t="s">
        <v>17</v>
      </c>
      <c r="H60" s="1207" t="s">
        <v>1460</v>
      </c>
      <c r="I60" s="1207">
        <v>0.26078000000000001</v>
      </c>
      <c r="J60" s="1207">
        <v>2.0357142857142855E-5</v>
      </c>
      <c r="K60" s="1207">
        <v>1.9622641509433961E-6</v>
      </c>
      <c r="L60" s="1207">
        <v>7.4010000000000006E-2</v>
      </c>
      <c r="M60" s="1208">
        <f>I60+(J60*GWPs!$C$4)+(K60*GWPs!$C$5)</f>
        <v>0.26192234097035039</v>
      </c>
    </row>
    <row r="61" spans="1:32">
      <c r="A61" s="30">
        <v>0</v>
      </c>
      <c r="B61" s="30" t="str">
        <f t="shared" si="2"/>
        <v>Cars_by_market_segmentAverage carBattery Electric Vehicle</v>
      </c>
      <c r="C61" s="30" t="s">
        <v>3927</v>
      </c>
      <c r="D61" s="30" t="s">
        <v>1479</v>
      </c>
      <c r="E61" s="1207" t="s">
        <v>1480</v>
      </c>
      <c r="F61" s="1207" t="s">
        <v>1459</v>
      </c>
      <c r="G61" s="1207" t="s">
        <v>278</v>
      </c>
      <c r="H61" s="1207" t="s">
        <v>1460</v>
      </c>
      <c r="I61" s="1207">
        <v>6.4240000000000005E-2</v>
      </c>
      <c r="J61" s="1207">
        <v>1.3214285714285714E-5</v>
      </c>
      <c r="K61" s="1207">
        <v>1.9245283018867927E-6</v>
      </c>
      <c r="L61" s="1207">
        <v>1.6879999999999999E-2</v>
      </c>
      <c r="M61" s="1208">
        <f>I61+(J61*GWPs!$C$4)+(K61*GWPs!$C$5)</f>
        <v>6.5159181940700805E-2</v>
      </c>
    </row>
    <row r="62" spans="1:32">
      <c r="A62" s="30">
        <v>0</v>
      </c>
      <c r="B62" s="30" t="str">
        <f t="shared" si="2"/>
        <v>Cars_by_market_segmentAverage carHybrid</v>
      </c>
      <c r="C62" s="30" t="s">
        <v>3927</v>
      </c>
      <c r="D62" s="30" t="s">
        <v>1479</v>
      </c>
      <c r="E62" s="1207" t="s">
        <v>1480</v>
      </c>
      <c r="F62" s="1207" t="s">
        <v>1459</v>
      </c>
      <c r="G62" s="1207" t="s">
        <v>1476</v>
      </c>
      <c r="H62" s="1207" t="s">
        <v>1460</v>
      </c>
      <c r="I62" s="1207">
        <v>0.20452000000000001</v>
      </c>
      <c r="J62" s="1207">
        <v>1.0714285714285714E-5</v>
      </c>
      <c r="K62" s="1207">
        <v>5.9245283018867925E-6</v>
      </c>
      <c r="L62" s="1207">
        <v>5.3350000000000002E-2</v>
      </c>
      <c r="M62" s="1208">
        <f>I62+(J62*GWPs!$C$4)+(K62*GWPs!$C$5)</f>
        <v>0.20645668194070083</v>
      </c>
    </row>
    <row r="63" spans="1:32">
      <c r="A63" s="30">
        <v>0</v>
      </c>
      <c r="B63" s="30" t="str">
        <f>"Cars_by_market_segment"&amp;E63&amp;G63</f>
        <v>Cars_by_market_segmentAverage carUnknown</v>
      </c>
      <c r="C63" s="30" t="s">
        <v>3927</v>
      </c>
      <c r="D63" s="30" t="s">
        <v>1479</v>
      </c>
      <c r="E63" s="1207" t="s">
        <v>1480</v>
      </c>
      <c r="F63" s="1207" t="s">
        <v>1459</v>
      </c>
      <c r="G63" s="1207" t="s">
        <v>276</v>
      </c>
      <c r="H63" s="1207" t="s">
        <v>1460</v>
      </c>
      <c r="I63" s="1207">
        <v>0.26728000000000002</v>
      </c>
      <c r="J63" s="1207">
        <v>1.0714285714285714E-5</v>
      </c>
      <c r="K63" s="1207">
        <v>5.9245283018867925E-6</v>
      </c>
      <c r="L63" s="1207">
        <v>7.0790000000000006E-2</v>
      </c>
      <c r="M63" s="1208">
        <f>I63+(J63*GWPs!$C$4)+(K63*GWPs!$C$5)</f>
        <v>0.26921668194070081</v>
      </c>
    </row>
    <row r="64" spans="1:32" ht="13.5" customHeight="1">
      <c r="A64" s="30">
        <v>0</v>
      </c>
      <c r="B64" s="30" t="str">
        <f t="shared" si="2"/>
        <v>Cars_by_market_segmentAverage carPlug-in Hybrid Electric Vehicle</v>
      </c>
      <c r="C64" s="30" t="s">
        <v>3927</v>
      </c>
      <c r="D64" s="30" t="s">
        <v>1479</v>
      </c>
      <c r="E64" s="1207" t="s">
        <v>1480</v>
      </c>
      <c r="F64" s="1207" t="s">
        <v>1459</v>
      </c>
      <c r="G64" s="1207" t="s">
        <v>277</v>
      </c>
      <c r="H64" s="1207" t="s">
        <v>1460</v>
      </c>
      <c r="I64" s="1207">
        <v>0.16719000000000001</v>
      </c>
      <c r="J64" s="1207">
        <v>2.1071428571428572E-5</v>
      </c>
      <c r="K64" s="1207">
        <v>2.1132075471698109E-6</v>
      </c>
      <c r="L64" s="1207">
        <v>4.7210000000000002E-2</v>
      </c>
      <c r="M64" s="1208">
        <f>I64+(J64*GWPs!$C$4)+(K64*GWPs!$C$5)</f>
        <v>0.16839483423180593</v>
      </c>
    </row>
    <row r="65" spans="1:13">
      <c r="A65" s="30">
        <v>0</v>
      </c>
      <c r="B65" s="30" t="str">
        <f t="shared" si="2"/>
        <v>Cars_by_market_segmentLarge carDiesel</v>
      </c>
      <c r="C65" s="30" t="s">
        <v>3927</v>
      </c>
      <c r="D65" s="30" t="s">
        <v>1479</v>
      </c>
      <c r="E65" s="1203" t="s">
        <v>4023</v>
      </c>
      <c r="F65" s="1203" t="s">
        <v>1459</v>
      </c>
      <c r="G65" s="1203" t="s">
        <v>16</v>
      </c>
      <c r="H65" s="1203" t="s">
        <v>1460</v>
      </c>
      <c r="I65" s="1203">
        <v>0.33537</v>
      </c>
      <c r="J65" s="1203">
        <v>3.5714285714285716E-7</v>
      </c>
      <c r="K65" s="1203">
        <v>1.0150943396226416E-5</v>
      </c>
      <c r="L65" s="1203">
        <v>8.1589999999999996E-2</v>
      </c>
      <c r="M65" s="1204">
        <f>I65+(J65*GWPs!$C$4)+(K65*GWPs!$C$5)</f>
        <v>0.33815185040431267</v>
      </c>
    </row>
    <row r="66" spans="1:13">
      <c r="A66" s="30">
        <v>0</v>
      </c>
      <c r="B66" s="30" t="str">
        <f t="shared" si="2"/>
        <v>Cars_by_market_segmentLarge carGasoline</v>
      </c>
      <c r="C66" s="30" t="s">
        <v>3927</v>
      </c>
      <c r="D66" s="30" t="s">
        <v>1479</v>
      </c>
      <c r="E66" s="1203" t="s">
        <v>4023</v>
      </c>
      <c r="F66" s="1203" t="s">
        <v>1459</v>
      </c>
      <c r="G66" s="1203" t="s">
        <v>17</v>
      </c>
      <c r="H66" s="1203" t="s">
        <v>1460</v>
      </c>
      <c r="I66" s="1203">
        <v>0.43065999999999999</v>
      </c>
      <c r="J66" s="1203">
        <v>2.0357142857142855E-5</v>
      </c>
      <c r="K66" s="1203">
        <v>1.9622641509433961E-6</v>
      </c>
      <c r="L66" s="1203">
        <v>0.12114999999999999</v>
      </c>
      <c r="M66" s="1204">
        <f>I66+(J66*GWPs!$C$4)+(K66*GWPs!$C$5)</f>
        <v>0.43180234097035036</v>
      </c>
    </row>
    <row r="67" spans="1:13">
      <c r="A67" s="30">
        <v>0</v>
      </c>
      <c r="B67" s="30" t="str">
        <f t="shared" si="2"/>
        <v>Cars_by_market_segmentLarge carBattery Electric Vehicle</v>
      </c>
      <c r="C67" s="30" t="s">
        <v>3927</v>
      </c>
      <c r="D67" s="30" t="s">
        <v>1479</v>
      </c>
      <c r="E67" s="1203" t="s">
        <v>4023</v>
      </c>
      <c r="F67" s="1203" t="s">
        <v>1459</v>
      </c>
      <c r="G67" s="1203" t="s">
        <v>278</v>
      </c>
      <c r="H67" s="1203" t="s">
        <v>1460</v>
      </c>
      <c r="I67" s="1203">
        <v>6.6699999999999995E-2</v>
      </c>
      <c r="J67" s="1203">
        <v>1.4642857142857142E-5</v>
      </c>
      <c r="K67" s="1203">
        <v>2.1132075471698109E-6</v>
      </c>
      <c r="L67" s="1203">
        <v>1.7500000000000002E-2</v>
      </c>
      <c r="M67" s="1204">
        <f>I67+(J67*GWPs!$C$4)+(K67*GWPs!$C$5)</f>
        <v>6.7713262803234489E-2</v>
      </c>
    </row>
    <row r="68" spans="1:13">
      <c r="A68" s="30">
        <v>0</v>
      </c>
      <c r="B68" s="30" t="str">
        <f t="shared" si="2"/>
        <v>Cars_by_market_segmentLarge carHybrid</v>
      </c>
      <c r="C68" s="30" t="s">
        <v>3927</v>
      </c>
      <c r="D68" s="30" t="s">
        <v>1479</v>
      </c>
      <c r="E68" s="1203" t="s">
        <v>4023</v>
      </c>
      <c r="F68" s="1203" t="s">
        <v>1459</v>
      </c>
      <c r="G68" s="1203" t="s">
        <v>1476</v>
      </c>
      <c r="H68" s="1203" t="s">
        <v>1460</v>
      </c>
      <c r="I68" s="1203">
        <v>0.24956</v>
      </c>
      <c r="J68" s="1203">
        <v>5.7142857142857145E-6</v>
      </c>
      <c r="K68" s="1203">
        <v>8.0377358490566039E-6</v>
      </c>
      <c r="L68" s="1203">
        <v>6.3740000000000005E-2</v>
      </c>
      <c r="M68" s="1204">
        <f>I68+(J68*GWPs!$C$4)+(K68*GWPs!$C$5)</f>
        <v>0.25192458760107816</v>
      </c>
    </row>
    <row r="69" spans="1:13">
      <c r="A69" s="30">
        <v>0</v>
      </c>
      <c r="B69" s="30" t="str">
        <f>"Cars_by_market_segment"&amp;E69&amp;G69</f>
        <v>Cars_by_market_segmentLarge carUnknown</v>
      </c>
      <c r="C69" s="30" t="s">
        <v>3927</v>
      </c>
      <c r="D69" s="30" t="s">
        <v>1479</v>
      </c>
      <c r="E69" s="1203" t="s">
        <v>4023</v>
      </c>
      <c r="F69" s="1203" t="s">
        <v>1459</v>
      </c>
      <c r="G69" s="1203" t="s">
        <v>276</v>
      </c>
      <c r="H69" s="1203" t="s">
        <v>1460</v>
      </c>
      <c r="I69" s="1203">
        <v>0.36266999999999999</v>
      </c>
      <c r="J69" s="1203">
        <v>5.7142857142857145E-6</v>
      </c>
      <c r="K69" s="1203">
        <v>8.0377358490566039E-6</v>
      </c>
      <c r="L69" s="1203">
        <v>9.2759999999999995E-2</v>
      </c>
      <c r="M69" s="1204">
        <f>I69+(J69*GWPs!$C$4)+(K69*GWPs!$C$5)</f>
        <v>0.36503458760107815</v>
      </c>
    </row>
    <row r="70" spans="1:13">
      <c r="A70" s="30">
        <v>0</v>
      </c>
      <c r="B70" s="30" t="str">
        <f t="shared" si="2"/>
        <v>Cars_by_market_segmentLarge carPlug-in Hybrid Electric Vehicle</v>
      </c>
      <c r="C70" s="30" t="s">
        <v>3927</v>
      </c>
      <c r="D70" s="30" t="s">
        <v>1479</v>
      </c>
      <c r="E70" s="1203" t="s">
        <v>4023</v>
      </c>
      <c r="F70" s="1203" t="s">
        <v>1459</v>
      </c>
      <c r="G70" s="1203" t="s">
        <v>277</v>
      </c>
      <c r="H70" s="1203" t="s">
        <v>1460</v>
      </c>
      <c r="I70" s="1203">
        <v>0.18271000000000001</v>
      </c>
      <c r="J70" s="1203">
        <v>2.2857142857142858E-5</v>
      </c>
      <c r="K70" s="1203">
        <v>2.30188679245283E-6</v>
      </c>
      <c r="L70" s="1203">
        <v>5.1839999999999997E-2</v>
      </c>
      <c r="M70" s="1204">
        <f>I70+(J70*GWPs!$C$4)+(K70*GWPs!$C$5)</f>
        <v>0.18401955795148248</v>
      </c>
    </row>
    <row r="71" spans="1:13">
      <c r="A71" s="30">
        <v>0</v>
      </c>
      <c r="B71" s="30" t="str">
        <f t="shared" si="2"/>
        <v>Cars_by_market_segmentMedium carDiesel</v>
      </c>
      <c r="C71" s="30" t="s">
        <v>3927</v>
      </c>
      <c r="D71" s="30" t="s">
        <v>1479</v>
      </c>
      <c r="E71" s="1207" t="s">
        <v>4024</v>
      </c>
      <c r="F71" s="1207" t="s">
        <v>1459</v>
      </c>
      <c r="G71" s="1207" t="s">
        <v>16</v>
      </c>
      <c r="H71" s="1207" t="s">
        <v>1460</v>
      </c>
      <c r="I71" s="1207">
        <v>0.27367999999999998</v>
      </c>
      <c r="J71" s="1207">
        <v>3.5714285714285716E-7</v>
      </c>
      <c r="K71" s="1207">
        <v>1.0150943396226416E-5</v>
      </c>
      <c r="L71" s="1207">
        <v>6.6030000000000005E-2</v>
      </c>
      <c r="M71" s="1208">
        <f>I71+(J71*GWPs!$C$4)+(K71*GWPs!$C$5)</f>
        <v>0.27646185040431265</v>
      </c>
    </row>
    <row r="72" spans="1:13">
      <c r="A72" s="30">
        <v>0</v>
      </c>
      <c r="B72" s="30" t="str">
        <f t="shared" si="2"/>
        <v>Cars_by_market_segmentMedium carGasoline</v>
      </c>
      <c r="C72" s="30" t="s">
        <v>3927</v>
      </c>
      <c r="D72" s="30" t="s">
        <v>1479</v>
      </c>
      <c r="E72" s="1207" t="s">
        <v>4024</v>
      </c>
      <c r="F72" s="1207" t="s">
        <v>1459</v>
      </c>
      <c r="G72" s="1207" t="s">
        <v>17</v>
      </c>
      <c r="H72" s="1207" t="s">
        <v>1460</v>
      </c>
      <c r="I72" s="1207">
        <v>0.28011999999999998</v>
      </c>
      <c r="J72" s="1207">
        <v>2.0357142857142855E-5</v>
      </c>
      <c r="K72" s="1207">
        <v>1.9622641509433961E-6</v>
      </c>
      <c r="L72" s="1207">
        <v>7.9769999999999994E-2</v>
      </c>
      <c r="M72" s="1208">
        <f>I72+(J72*GWPs!$C$4)+(K72*GWPs!$C$5)</f>
        <v>0.28126234097035036</v>
      </c>
    </row>
    <row r="73" spans="1:13">
      <c r="A73" s="30">
        <v>0</v>
      </c>
      <c r="B73" s="30" t="str">
        <f t="shared" si="2"/>
        <v>Cars_by_market_segmentMedium carBattery Electric Vehicle</v>
      </c>
      <c r="C73" s="30" t="s">
        <v>3927</v>
      </c>
      <c r="D73" s="30" t="s">
        <v>1479</v>
      </c>
      <c r="E73" s="1207" t="s">
        <v>4024</v>
      </c>
      <c r="F73" s="1207" t="s">
        <v>1459</v>
      </c>
      <c r="G73" s="1207" t="s">
        <v>278</v>
      </c>
      <c r="H73" s="1207" t="s">
        <v>1460</v>
      </c>
      <c r="I73" s="1207">
        <v>6.1620000000000001E-2</v>
      </c>
      <c r="J73" s="1207">
        <v>1.2857142857142857E-5</v>
      </c>
      <c r="K73" s="1207">
        <v>1.8113207547169812E-6</v>
      </c>
      <c r="L73" s="1207">
        <v>1.6449999999999999E-2</v>
      </c>
      <c r="M73" s="1208">
        <f>I73+(J73*GWPs!$C$4)+(K73*GWPs!$C$5)</f>
        <v>6.2497633423180599E-2</v>
      </c>
    </row>
    <row r="74" spans="1:13">
      <c r="A74" s="30">
        <v>0</v>
      </c>
      <c r="B74" s="30" t="str">
        <f t="shared" si="2"/>
        <v>Cars_by_market_segmentMedium carHybrid</v>
      </c>
      <c r="C74" s="30" t="s">
        <v>3927</v>
      </c>
      <c r="D74" s="30" t="s">
        <v>1479</v>
      </c>
      <c r="E74" s="1207" t="s">
        <v>4024</v>
      </c>
      <c r="F74" s="1207" t="s">
        <v>1459</v>
      </c>
      <c r="G74" s="1207" t="s">
        <v>1476</v>
      </c>
      <c r="H74" s="1207" t="s">
        <v>1460</v>
      </c>
      <c r="I74" s="1207">
        <v>0.18673999999999999</v>
      </c>
      <c r="J74" s="1207">
        <v>9.6428571428571425E-6</v>
      </c>
      <c r="K74" s="1207">
        <v>6.3396226415094341E-6</v>
      </c>
      <c r="L74" s="1207">
        <v>4.8239999999999998E-2</v>
      </c>
      <c r="M74" s="1208">
        <f>I74+(J74*GWPs!$C$4)+(K74*GWPs!$C$5)</f>
        <v>0.18875807412398921</v>
      </c>
    </row>
    <row r="75" spans="1:13">
      <c r="A75" s="30">
        <v>0</v>
      </c>
      <c r="B75" s="30" t="str">
        <f>"Cars_by_market_segment"&amp;E75&amp;G75</f>
        <v>Cars_by_market_segmentMedium carUnknown</v>
      </c>
      <c r="C75" s="30" t="s">
        <v>3927</v>
      </c>
      <c r="D75" s="30" t="s">
        <v>1479</v>
      </c>
      <c r="E75" s="1207" t="s">
        <v>4024</v>
      </c>
      <c r="F75" s="1207" t="s">
        <v>1459</v>
      </c>
      <c r="G75" s="1207" t="s">
        <v>276</v>
      </c>
      <c r="H75" s="1207" t="s">
        <v>1460</v>
      </c>
      <c r="I75" s="1207">
        <v>0.27682000000000001</v>
      </c>
      <c r="J75" s="1207">
        <v>9.6428571428571425E-6</v>
      </c>
      <c r="K75" s="1207">
        <v>6.3396226415094341E-6</v>
      </c>
      <c r="L75" s="1207">
        <v>7.2709999999999997E-2</v>
      </c>
      <c r="M75" s="1208">
        <f>I75+(J75*GWPs!$C$4)+(K75*GWPs!$C$5)</f>
        <v>0.27883807412398925</v>
      </c>
    </row>
    <row r="76" spans="1:13">
      <c r="A76" s="30">
        <v>0</v>
      </c>
      <c r="B76" s="30" t="str">
        <f t="shared" si="2"/>
        <v>Cars_by_market_segmentMedium carPlug-in Hybrid Electric Vehicle</v>
      </c>
      <c r="C76" s="30" t="s">
        <v>3927</v>
      </c>
      <c r="D76" s="30" t="s">
        <v>1479</v>
      </c>
      <c r="E76" s="1207" t="s">
        <v>4024</v>
      </c>
      <c r="F76" s="1207" t="s">
        <v>1459</v>
      </c>
      <c r="G76" s="1207" t="s">
        <v>277</v>
      </c>
      <c r="H76" s="1207" t="s">
        <v>1460</v>
      </c>
      <c r="I76" s="1207">
        <v>0.14087</v>
      </c>
      <c r="J76" s="1207">
        <v>1.9642857142857145E-5</v>
      </c>
      <c r="K76" s="1207">
        <v>1.9622641509433961E-6</v>
      </c>
      <c r="L76" s="1207">
        <v>4.0629999999999999E-2</v>
      </c>
      <c r="M76" s="1208">
        <f>I76+(J76*GWPs!$C$4)+(K76*GWPs!$C$5)</f>
        <v>0.1419910552560647</v>
      </c>
    </row>
    <row r="77" spans="1:13">
      <c r="A77" s="30">
        <v>0</v>
      </c>
      <c r="B77" s="30" t="str">
        <f t="shared" si="2"/>
        <v>Cars_by_market_segmentSmall carDiesel</v>
      </c>
      <c r="C77" s="30" t="s">
        <v>3927</v>
      </c>
      <c r="D77" s="30" t="s">
        <v>1479</v>
      </c>
      <c r="E77" s="1203" t="s">
        <v>4025</v>
      </c>
      <c r="F77" s="1203" t="s">
        <v>1459</v>
      </c>
      <c r="G77" s="1203" t="s">
        <v>16</v>
      </c>
      <c r="H77" s="1203" t="s">
        <v>1460</v>
      </c>
      <c r="I77" s="1203">
        <v>0.22806999999999999</v>
      </c>
      <c r="J77" s="1203">
        <v>3.5714285714285716E-7</v>
      </c>
      <c r="K77" s="1203">
        <v>1.0150943396226416E-5</v>
      </c>
      <c r="L77" s="1203">
        <v>5.4859999999999999E-2</v>
      </c>
      <c r="M77" s="1204">
        <f>I77+(J77*GWPs!$C$4)+(K77*GWPs!$C$5)</f>
        <v>0.23085185040431266</v>
      </c>
    </row>
    <row r="78" spans="1:13">
      <c r="A78" s="30">
        <v>0</v>
      </c>
      <c r="B78" s="30" t="str">
        <f t="shared" si="2"/>
        <v>Cars_by_market_segmentSmall carGasoline</v>
      </c>
      <c r="C78" s="30" t="s">
        <v>3927</v>
      </c>
      <c r="D78" s="30" t="s">
        <v>1479</v>
      </c>
      <c r="E78" s="1203" t="s">
        <v>4025</v>
      </c>
      <c r="F78" s="1203" t="s">
        <v>1459</v>
      </c>
      <c r="G78" s="1203" t="s">
        <v>17</v>
      </c>
      <c r="H78" s="1203" t="s">
        <v>1460</v>
      </c>
      <c r="I78" s="1203">
        <v>0.22917999999999999</v>
      </c>
      <c r="J78" s="1203">
        <v>2.0357142857142855E-5</v>
      </c>
      <c r="K78" s="1203">
        <v>1.9622641509433961E-6</v>
      </c>
      <c r="L78" s="1203">
        <v>6.4610000000000001E-2</v>
      </c>
      <c r="M78" s="1204">
        <f>I78+(J78*GWPs!$C$4)+(K78*GWPs!$C$5)</f>
        <v>0.2303223409703504</v>
      </c>
    </row>
    <row r="79" spans="1:13">
      <c r="A79" s="30">
        <v>0</v>
      </c>
      <c r="B79" s="30" t="str">
        <f t="shared" si="2"/>
        <v>Cars_by_market_segmentSmall carBattery Electric Vehicle</v>
      </c>
      <c r="C79" s="30" t="s">
        <v>3927</v>
      </c>
      <c r="D79" s="30" t="s">
        <v>1479</v>
      </c>
      <c r="E79" s="1203" t="s">
        <v>4025</v>
      </c>
      <c r="F79" s="1203" t="s">
        <v>1459</v>
      </c>
      <c r="G79" s="1203" t="s">
        <v>278</v>
      </c>
      <c r="H79" s="1203" t="s">
        <v>1460</v>
      </c>
      <c r="I79" s="1203">
        <v>5.8630000000000002E-2</v>
      </c>
      <c r="J79" s="1203">
        <v>1.1071428571428571E-5</v>
      </c>
      <c r="K79" s="1203">
        <v>1.5849056603773585E-6</v>
      </c>
      <c r="L79" s="1203">
        <v>1.525E-2</v>
      </c>
      <c r="M79" s="1204">
        <f>I79+(J79*GWPs!$C$4)+(K79*GWPs!$C$5)</f>
        <v>5.9392607816711594E-2</v>
      </c>
    </row>
    <row r="80" spans="1:13">
      <c r="A80" s="30">
        <v>0</v>
      </c>
      <c r="B80" s="30" t="str">
        <f t="shared" si="2"/>
        <v>Cars_by_market_segmentSmall carHybrid</v>
      </c>
      <c r="C80" s="30" t="s">
        <v>3927</v>
      </c>
      <c r="D80" s="30" t="s">
        <v>1479</v>
      </c>
      <c r="E80" s="1203" t="s">
        <v>4025</v>
      </c>
      <c r="F80" s="1203" t="s">
        <v>1459</v>
      </c>
      <c r="G80" s="1203" t="s">
        <v>1476</v>
      </c>
      <c r="H80" s="1203" t="s">
        <v>1460</v>
      </c>
      <c r="I80" s="1203">
        <v>0.18204999999999999</v>
      </c>
      <c r="J80" s="1203">
        <v>1.3571428571428572E-5</v>
      </c>
      <c r="K80" s="1203">
        <v>4.6792452830188677E-6</v>
      </c>
      <c r="L80" s="1203">
        <v>4.87E-2</v>
      </c>
      <c r="M80" s="1204">
        <f>I80+(J80*GWPs!$C$4)+(K80*GWPs!$C$5)</f>
        <v>0.18373186253369272</v>
      </c>
    </row>
    <row r="81" spans="1:15">
      <c r="A81" s="30">
        <v>0</v>
      </c>
      <c r="B81" s="30" t="str">
        <f>"Cars_by_market_segment"&amp;E81&amp;G81</f>
        <v>Cars_by_market_segmentSmall carUnknown</v>
      </c>
      <c r="C81" s="30" t="s">
        <v>3927</v>
      </c>
      <c r="D81" s="30" t="s">
        <v>1479</v>
      </c>
      <c r="E81" s="1203" t="s">
        <v>4025</v>
      </c>
      <c r="F81" s="1203" t="s">
        <v>1459</v>
      </c>
      <c r="G81" s="1203" t="s">
        <v>276</v>
      </c>
      <c r="H81" s="1203" t="s">
        <v>1460</v>
      </c>
      <c r="I81" s="1203">
        <v>0.22886000000000001</v>
      </c>
      <c r="J81" s="1203">
        <v>1.3571428571428572E-5</v>
      </c>
      <c r="K81" s="1203">
        <v>4.6792452830188677E-6</v>
      </c>
      <c r="L81" s="1203">
        <v>6.173E-2</v>
      </c>
      <c r="M81" s="1204">
        <f>I81+(J81*GWPs!$C$4)+(K81*GWPs!$C$5)</f>
        <v>0.23054186253369274</v>
      </c>
    </row>
    <row r="82" spans="1:15">
      <c r="A82" s="30">
        <v>0</v>
      </c>
      <c r="B82" s="30" t="str">
        <f t="shared" ref="B82" si="3">"Cars_by_market_segment"&amp;E82&amp;G82</f>
        <v>Cars_by_market_segmentSmall carPlug-in Hybrid Electric Vehicle</v>
      </c>
      <c r="C82" s="30" t="s">
        <v>3927</v>
      </c>
      <c r="D82" s="30" t="s">
        <v>1479</v>
      </c>
      <c r="E82" s="1203" t="s">
        <v>4025</v>
      </c>
      <c r="F82" s="1203" t="s">
        <v>1459</v>
      </c>
      <c r="G82" s="1203" t="s">
        <v>277</v>
      </c>
      <c r="H82" s="1203" t="s">
        <v>1460</v>
      </c>
      <c r="I82" s="1203">
        <v>9.0469999999999995E-2</v>
      </c>
      <c r="J82" s="1203">
        <v>1.2857142857142857E-5</v>
      </c>
      <c r="K82" s="1203">
        <v>1.5094339622641511E-6</v>
      </c>
      <c r="L82" s="1203">
        <v>2.4459999999999999E-2</v>
      </c>
      <c r="M82" s="1204">
        <f>I82+(J82*GWPs!$C$4)+(K82*GWPs!$C$5)</f>
        <v>9.1265218328840964E-2</v>
      </c>
    </row>
    <row r="83" spans="1:15">
      <c r="A83" s="30"/>
      <c r="I83" s="30"/>
      <c r="J83" s="30"/>
      <c r="K83" s="30"/>
      <c r="L83" s="30"/>
    </row>
    <row r="84" spans="1:15">
      <c r="A84" s="30"/>
      <c r="I84" s="30"/>
      <c r="J84" s="30"/>
      <c r="K84" s="30"/>
      <c r="L84" s="30"/>
    </row>
    <row r="85" spans="1:15">
      <c r="A85" s="30"/>
      <c r="I85" s="30"/>
      <c r="J85" s="30"/>
      <c r="K85" s="30"/>
      <c r="L85" s="30"/>
    </row>
    <row r="86" spans="1:15">
      <c r="A86" s="30"/>
      <c r="I86" s="30"/>
      <c r="J86" s="30"/>
      <c r="K86" s="30"/>
      <c r="L86" s="30"/>
    </row>
    <row r="87" spans="1:15" ht="76.5">
      <c r="A87" s="1183" t="s">
        <v>1452</v>
      </c>
      <c r="C87" s="1183" t="s">
        <v>1446</v>
      </c>
      <c r="D87" s="1183" t="s">
        <v>1447</v>
      </c>
      <c r="E87" s="1183" t="s">
        <v>1448</v>
      </c>
      <c r="F87" s="1183" t="s">
        <v>1449</v>
      </c>
      <c r="G87" s="1183" t="s">
        <v>1450</v>
      </c>
      <c r="H87" s="1183" t="s">
        <v>1451</v>
      </c>
      <c r="I87" s="1183" t="s">
        <v>1453</v>
      </c>
      <c r="J87" s="1183" t="s">
        <v>1454</v>
      </c>
      <c r="K87" s="1183" t="s">
        <v>1455</v>
      </c>
      <c r="L87" s="1183" t="s">
        <v>3926</v>
      </c>
      <c r="M87" s="1220" t="s">
        <v>3930</v>
      </c>
    </row>
    <row r="88" spans="1:15">
      <c r="A88" s="30">
        <v>0</v>
      </c>
      <c r="C88" s="30" t="s">
        <v>3927</v>
      </c>
      <c r="D88" s="30" t="s">
        <v>9</v>
      </c>
      <c r="E88" s="30" t="s">
        <v>268</v>
      </c>
      <c r="F88" s="30" t="s">
        <v>1459</v>
      </c>
      <c r="G88" s="30" t="s">
        <v>1459</v>
      </c>
      <c r="H88" s="30" t="s">
        <v>3928</v>
      </c>
      <c r="I88" s="30">
        <v>0.10310999999999999</v>
      </c>
      <c r="J88" s="30">
        <v>3.5714285714285716E-7</v>
      </c>
      <c r="K88" s="30">
        <v>2.7547169811320755E-6</v>
      </c>
      <c r="L88" s="30">
        <v>2.649E-2</v>
      </c>
      <c r="M88" s="1189">
        <f>I88+(J88*GWPs!$C$4)+(K88*GWPs!$C$5)</f>
        <v>0.10387268059299191</v>
      </c>
    </row>
    <row r="89" spans="1:15">
      <c r="A89" s="30">
        <v>0</v>
      </c>
      <c r="C89" s="30" t="s">
        <v>3927</v>
      </c>
      <c r="D89" s="30" t="s">
        <v>9</v>
      </c>
      <c r="E89" s="30" t="s">
        <v>269</v>
      </c>
      <c r="F89" s="30" t="s">
        <v>1459</v>
      </c>
      <c r="G89" s="30" t="s">
        <v>1459</v>
      </c>
      <c r="H89" s="30" t="s">
        <v>3928</v>
      </c>
      <c r="I89" s="30">
        <v>2.7269999999999999E-2</v>
      </c>
      <c r="J89" s="30">
        <v>3.5714285714285716E-7</v>
      </c>
      <c r="K89" s="30">
        <v>1.8113207547169812E-6</v>
      </c>
      <c r="L89" s="30">
        <v>6.5599999999999999E-3</v>
      </c>
      <c r="M89" s="1189">
        <f>I89+(J89*GWPs!$C$4)+(K89*GWPs!$C$5)</f>
        <v>2.7775133423180592E-2</v>
      </c>
      <c r="N89" s="1205"/>
      <c r="O89" s="1205"/>
    </row>
    <row r="90" spans="1:15">
      <c r="A90" s="30">
        <v>0</v>
      </c>
      <c r="C90" s="30" t="s">
        <v>3927</v>
      </c>
      <c r="D90" s="30" t="s">
        <v>9</v>
      </c>
      <c r="E90" s="30" t="s">
        <v>271</v>
      </c>
      <c r="F90" s="30" t="s">
        <v>1459</v>
      </c>
      <c r="G90" s="30" t="s">
        <v>1459</v>
      </c>
      <c r="H90" s="30" t="s">
        <v>3928</v>
      </c>
      <c r="I90" s="30">
        <v>0.12435</v>
      </c>
      <c r="J90" s="30">
        <v>7.1428571428571431E-7</v>
      </c>
      <c r="K90" s="30">
        <v>3.3207547169811323E-6</v>
      </c>
      <c r="L90" s="30">
        <v>3.1739999999999997E-2</v>
      </c>
      <c r="M90" s="1189">
        <f>I90+(J90*GWPs!$C$4)+(K90*GWPs!$C$5)</f>
        <v>0.12527785175202155</v>
      </c>
      <c r="N90" s="1205"/>
      <c r="O90" s="1205"/>
    </row>
    <row r="91" spans="1:15">
      <c r="A91" s="30">
        <v>0</v>
      </c>
      <c r="C91" s="30" t="s">
        <v>3927</v>
      </c>
      <c r="D91" s="30" t="s">
        <v>9</v>
      </c>
      <c r="E91" s="30" t="s">
        <v>272</v>
      </c>
      <c r="F91" s="30" t="s">
        <v>1459</v>
      </c>
      <c r="G91" s="30" t="s">
        <v>1459</v>
      </c>
      <c r="H91" s="30" t="s">
        <v>3928</v>
      </c>
      <c r="I91" s="30">
        <v>6.8269999999999997E-2</v>
      </c>
      <c r="J91" s="30">
        <v>3.5714285714285716E-7</v>
      </c>
      <c r="K91" s="30">
        <v>1.7735849056603772E-6</v>
      </c>
      <c r="L91" s="30">
        <v>1.821E-2</v>
      </c>
      <c r="M91" s="1189">
        <f>I91+(J91*GWPs!$C$4)+(K91*GWPs!$C$5)</f>
        <v>6.8764831536388141E-2</v>
      </c>
      <c r="N91" s="1205"/>
      <c r="O91" s="1205"/>
    </row>
    <row r="92" spans="1:15">
      <c r="A92" s="30">
        <v>0</v>
      </c>
      <c r="C92" s="30" t="s">
        <v>3927</v>
      </c>
      <c r="D92" s="30" t="s">
        <v>36</v>
      </c>
      <c r="E92" s="30" t="s">
        <v>288</v>
      </c>
      <c r="F92" s="30" t="s">
        <v>1459</v>
      </c>
      <c r="G92" s="30" t="s">
        <v>1459</v>
      </c>
      <c r="H92" s="30" t="s">
        <v>2188</v>
      </c>
      <c r="I92" s="30">
        <v>0.11138000000000001</v>
      </c>
      <c r="J92" s="30">
        <v>6.3214285714285721E-5</v>
      </c>
      <c r="K92" s="30">
        <v>1.9622641509433961E-6</v>
      </c>
      <c r="L92" s="30">
        <v>2.9559999999999999E-2</v>
      </c>
      <c r="M92" s="1189">
        <f>I92+(J92*GWPs!$C$4)+(K92*GWPs!$C$5)</f>
        <v>0.11379948382749326</v>
      </c>
      <c r="N92" s="1205"/>
      <c r="O92" s="1205"/>
    </row>
    <row r="93" spans="1:15">
      <c r="A93" s="30">
        <v>0</v>
      </c>
      <c r="C93" s="30" t="s">
        <v>3927</v>
      </c>
      <c r="D93" s="30" t="s">
        <v>36</v>
      </c>
      <c r="E93" s="30" t="s">
        <v>288</v>
      </c>
      <c r="F93" s="30" t="s">
        <v>1459</v>
      </c>
      <c r="G93" s="30" t="s">
        <v>1459</v>
      </c>
      <c r="H93" s="30" t="s">
        <v>1460</v>
      </c>
      <c r="I93" s="30">
        <v>0.17924999999999999</v>
      </c>
      <c r="J93" s="30">
        <v>1.0142857142857143E-4</v>
      </c>
      <c r="K93" s="30">
        <v>3.1698113207547171E-6</v>
      </c>
      <c r="L93" s="30">
        <v>4.7570000000000001E-2</v>
      </c>
      <c r="M93" s="1189">
        <f>I93+(J93*GWPs!$C$4)+(K93*GWPs!$C$5)</f>
        <v>0.18313792991913747</v>
      </c>
      <c r="N93" s="1205"/>
      <c r="O93" s="1205"/>
    </row>
    <row r="94" spans="1:15">
      <c r="A94" s="30">
        <v>0</v>
      </c>
      <c r="C94" s="30" t="s">
        <v>3927</v>
      </c>
      <c r="D94" s="30" t="s">
        <v>36</v>
      </c>
      <c r="E94" s="30" t="s">
        <v>289</v>
      </c>
      <c r="F94" s="30" t="s">
        <v>1459</v>
      </c>
      <c r="G94" s="30" t="s">
        <v>1459</v>
      </c>
      <c r="H94" s="30" t="s">
        <v>2188</v>
      </c>
      <c r="I94" s="30">
        <v>0.13072</v>
      </c>
      <c r="J94" s="30">
        <v>4.5357142857142863E-5</v>
      </c>
      <c r="K94" s="30">
        <v>1.9999999999999999E-6</v>
      </c>
      <c r="L94" s="30">
        <v>3.4689999999999999E-2</v>
      </c>
      <c r="M94" s="1189">
        <f>I94+(J94*GWPs!$C$4)+(K94*GWPs!$C$5)</f>
        <v>0.13261764285714286</v>
      </c>
      <c r="N94" s="1205"/>
      <c r="O94" s="1205"/>
    </row>
    <row r="95" spans="1:15">
      <c r="A95" s="30">
        <v>0</v>
      </c>
      <c r="C95" s="30" t="s">
        <v>3927</v>
      </c>
      <c r="D95" s="30" t="s">
        <v>36</v>
      </c>
      <c r="E95" s="30" t="s">
        <v>289</v>
      </c>
      <c r="F95" s="30" t="s">
        <v>1459</v>
      </c>
      <c r="G95" s="30" t="s">
        <v>1459</v>
      </c>
      <c r="H95" s="30" t="s">
        <v>1460</v>
      </c>
      <c r="I95" s="30">
        <v>0.21037</v>
      </c>
      <c r="J95" s="30">
        <v>7.285714285714286E-5</v>
      </c>
      <c r="K95" s="30">
        <v>3.2075471698113204E-6</v>
      </c>
      <c r="L95" s="30">
        <v>5.5829999999999998E-2</v>
      </c>
      <c r="M95" s="1189">
        <f>I95+(J95*GWPs!$C$4)+(K95*GWPs!$C$5)</f>
        <v>0.21341680323450132</v>
      </c>
      <c r="N95" s="1205"/>
      <c r="O95" s="1205"/>
    </row>
    <row r="96" spans="1:15">
      <c r="A96" s="30">
        <v>0</v>
      </c>
      <c r="C96" s="30" t="s">
        <v>3927</v>
      </c>
      <c r="D96" s="30" t="s">
        <v>36</v>
      </c>
      <c r="E96" s="30" t="s">
        <v>39</v>
      </c>
      <c r="F96" s="30" t="s">
        <v>1459</v>
      </c>
      <c r="G96" s="30" t="s">
        <v>1459</v>
      </c>
      <c r="H96" s="30" t="s">
        <v>2188</v>
      </c>
      <c r="I96" s="30">
        <v>9.826E-2</v>
      </c>
      <c r="J96" s="30">
        <v>8.142857142857142E-5</v>
      </c>
      <c r="K96" s="30">
        <v>1.9999999999999999E-6</v>
      </c>
      <c r="L96" s="30">
        <v>2.6079999999999999E-2</v>
      </c>
      <c r="M96" s="1189">
        <f>I96+(J96*GWPs!$C$4)+(K96*GWPs!$C$5)</f>
        <v>0.10123257142857144</v>
      </c>
    </row>
    <row r="97" spans="1:13">
      <c r="A97" s="30">
        <v>0</v>
      </c>
      <c r="C97" s="30" t="s">
        <v>3927</v>
      </c>
      <c r="D97" s="30" t="s">
        <v>36</v>
      </c>
      <c r="E97" s="30" t="s">
        <v>39</v>
      </c>
      <c r="F97" s="30" t="s">
        <v>1459</v>
      </c>
      <c r="G97" s="30" t="s">
        <v>1459</v>
      </c>
      <c r="H97" s="30" t="s">
        <v>1460</v>
      </c>
      <c r="I97" s="30">
        <v>0.15812999999999999</v>
      </c>
      <c r="J97" s="30">
        <v>1.3107142857142858E-4</v>
      </c>
      <c r="K97" s="30">
        <v>3.2075471698113204E-6</v>
      </c>
      <c r="L97" s="30">
        <v>4.1959999999999997E-2</v>
      </c>
      <c r="M97" s="1189">
        <f>I97+(J97*GWPs!$C$4)+(K97*GWPs!$C$5)</f>
        <v>0.16291158894878704</v>
      </c>
    </row>
    <row r="98" spans="1:13">
      <c r="A98" s="30">
        <v>0</v>
      </c>
      <c r="C98" s="30" t="s">
        <v>3927</v>
      </c>
      <c r="D98" s="30" t="s">
        <v>36</v>
      </c>
      <c r="E98" s="30" t="s">
        <v>290</v>
      </c>
      <c r="F98" s="30" t="s">
        <v>1459</v>
      </c>
      <c r="G98" s="30" t="s">
        <v>1459</v>
      </c>
      <c r="H98" s="30" t="s">
        <v>2188</v>
      </c>
      <c r="I98" s="30">
        <v>8.0939999999999998E-2</v>
      </c>
      <c r="J98" s="30">
        <v>6.2500000000000001E-5</v>
      </c>
      <c r="K98" s="30">
        <v>1.8867924528301887E-6</v>
      </c>
      <c r="L98" s="30">
        <v>2.1479999999999999E-2</v>
      </c>
      <c r="M98" s="1189">
        <f>I98+(J98*GWPs!$C$4)+(K98*GWPs!$C$5)</f>
        <v>8.3317594339622644E-2</v>
      </c>
    </row>
    <row r="99" spans="1:13">
      <c r="A99" s="30">
        <v>0</v>
      </c>
      <c r="C99" s="30" t="s">
        <v>3927</v>
      </c>
      <c r="D99" s="30" t="s">
        <v>36</v>
      </c>
      <c r="E99" s="30" t="s">
        <v>290</v>
      </c>
      <c r="F99" s="30" t="s">
        <v>1459</v>
      </c>
      <c r="G99" s="30" t="s">
        <v>1459</v>
      </c>
      <c r="H99" s="30" t="s">
        <v>1460</v>
      </c>
      <c r="I99" s="30">
        <v>0.13027</v>
      </c>
      <c r="J99" s="30">
        <v>1.0071428571428571E-4</v>
      </c>
      <c r="K99" s="30">
        <v>3.0188679245283022E-6</v>
      </c>
      <c r="L99" s="30">
        <v>3.4569999999999997E-2</v>
      </c>
      <c r="M99" s="1189">
        <f>I99+(J99*GWPs!$C$4)+(K99*GWPs!$C$5)</f>
        <v>0.13409543665768192</v>
      </c>
    </row>
    <row r="100" spans="1:13">
      <c r="A100" s="30">
        <v>0</v>
      </c>
      <c r="C100" s="30" t="s">
        <v>3927</v>
      </c>
      <c r="D100" s="30" t="s">
        <v>273</v>
      </c>
      <c r="E100" s="30" t="s">
        <v>291</v>
      </c>
      <c r="F100" s="30" t="s">
        <v>1459</v>
      </c>
      <c r="G100" s="30" t="s">
        <v>1459</v>
      </c>
      <c r="H100" s="30" t="s">
        <v>3928</v>
      </c>
      <c r="I100" s="30">
        <v>4.4099999999999999E-3</v>
      </c>
      <c r="J100" s="30">
        <v>7.1428571428571431E-7</v>
      </c>
      <c r="K100" s="30">
        <v>1.1320754716981133E-7</v>
      </c>
      <c r="L100" s="30">
        <v>1.17E-3</v>
      </c>
      <c r="M100" s="1189">
        <f>I100+(J100*GWPs!$C$4)+(K100*GWPs!$C$5)</f>
        <v>4.4621913746630722E-3</v>
      </c>
    </row>
    <row r="101" spans="1:13">
      <c r="A101" s="30">
        <v>0</v>
      </c>
      <c r="C101" s="30" t="s">
        <v>3927</v>
      </c>
      <c r="D101" s="30" t="s">
        <v>273</v>
      </c>
      <c r="E101" s="30" t="s">
        <v>292</v>
      </c>
      <c r="F101" s="30" t="s">
        <v>1459</v>
      </c>
      <c r="G101" s="30" t="s">
        <v>1459</v>
      </c>
      <c r="H101" s="30" t="s">
        <v>3928</v>
      </c>
      <c r="I101" s="30">
        <v>2.8320000000000001E-2</v>
      </c>
      <c r="J101" s="30">
        <v>4.2857142857142855E-6</v>
      </c>
      <c r="K101" s="30">
        <v>6.0377358490566038E-7</v>
      </c>
      <c r="L101" s="30">
        <v>7.4900000000000001E-3</v>
      </c>
      <c r="M101" s="1189">
        <f>I101+(J101*GWPs!$C$4)+(K101*GWPs!$C$5)</f>
        <v>2.8612544474393532E-2</v>
      </c>
    </row>
    <row r="102" spans="1:13">
      <c r="A102" s="30">
        <v>0</v>
      </c>
      <c r="C102" s="30" t="s">
        <v>3927</v>
      </c>
      <c r="D102" s="30" t="s">
        <v>273</v>
      </c>
      <c r="E102" s="30" t="s">
        <v>293</v>
      </c>
      <c r="F102" s="30" t="s">
        <v>1459</v>
      </c>
      <c r="G102" s="30" t="s">
        <v>1459</v>
      </c>
      <c r="H102" s="30" t="s">
        <v>3928</v>
      </c>
      <c r="I102" s="30">
        <v>2.7529999999999999E-2</v>
      </c>
      <c r="J102" s="30">
        <v>3.9285714285714288E-6</v>
      </c>
      <c r="K102" s="30">
        <v>6.0377358490566038E-7</v>
      </c>
      <c r="L102" s="30">
        <v>7.28E-3</v>
      </c>
      <c r="M102" s="1189">
        <f>I102+(J102*GWPs!$C$4)+(K102*GWPs!$C$5)</f>
        <v>2.7811901617250671E-2</v>
      </c>
    </row>
    <row r="103" spans="1:13">
      <c r="A103" s="30">
        <v>0</v>
      </c>
      <c r="C103" s="30" t="s">
        <v>3927</v>
      </c>
      <c r="D103" s="30" t="s">
        <v>273</v>
      </c>
      <c r="E103" s="30" t="s">
        <v>294</v>
      </c>
      <c r="F103" s="30" t="s">
        <v>1459</v>
      </c>
      <c r="G103" s="30" t="s">
        <v>1459</v>
      </c>
      <c r="H103" s="30" t="s">
        <v>3928</v>
      </c>
      <c r="I103" s="30">
        <v>3.5099999999999999E-2</v>
      </c>
      <c r="J103" s="30">
        <v>2.8571428571428573E-6</v>
      </c>
      <c r="K103" s="30">
        <v>1.0566037735849055E-6</v>
      </c>
      <c r="L103" s="30">
        <v>8.9700000000000005E-3</v>
      </c>
      <c r="M103" s="1189">
        <f>I103+(J103*GWPs!$C$4)+(K103*GWPs!$C$5)</f>
        <v>3.5473595687331536E-2</v>
      </c>
    </row>
    <row r="104" spans="1:13">
      <c r="A104" s="30">
        <v>0</v>
      </c>
      <c r="C104" s="30" t="s">
        <v>3927</v>
      </c>
      <c r="D104" s="30" t="s">
        <v>275</v>
      </c>
      <c r="E104" s="30" t="s">
        <v>295</v>
      </c>
      <c r="F104" s="30" t="s">
        <v>1459</v>
      </c>
      <c r="G104" s="30" t="s">
        <v>1459</v>
      </c>
      <c r="H104" s="30" t="s">
        <v>2188</v>
      </c>
      <c r="I104" s="30">
        <v>0.30436000000000002</v>
      </c>
      <c r="J104" s="30">
        <v>1.656E-7</v>
      </c>
      <c r="K104" s="30">
        <v>6.3018867924528307E-6</v>
      </c>
      <c r="L104" s="30">
        <v>7.6340000000000005E-2</v>
      </c>
      <c r="M104" s="1189">
        <f>I104+(J104*GWPs!$C$4)+(K104*GWPs!$C$5)</f>
        <v>0.30608534997433962</v>
      </c>
    </row>
    <row r="105" spans="1:13">
      <c r="A105" s="30">
        <v>0</v>
      </c>
      <c r="C105" s="30" t="s">
        <v>3927</v>
      </c>
      <c r="D105" s="30" t="s">
        <v>275</v>
      </c>
      <c r="E105" s="30" t="s">
        <v>295</v>
      </c>
      <c r="F105" s="30" t="s">
        <v>1459</v>
      </c>
      <c r="G105" s="30" t="s">
        <v>1459</v>
      </c>
      <c r="H105" s="30" t="s">
        <v>3928</v>
      </c>
      <c r="I105" s="30">
        <v>0.20291000000000001</v>
      </c>
      <c r="J105" s="30">
        <v>1.1040000000000001E-7</v>
      </c>
      <c r="K105" s="30">
        <v>4.1886792452830193E-6</v>
      </c>
      <c r="L105" s="30">
        <v>5.0900000000000001E-2</v>
      </c>
      <c r="M105" s="1189">
        <f>I105+(J105*GWPs!$C$4)+(K105*GWPs!$C$5)</f>
        <v>0.20405679935396229</v>
      </c>
    </row>
    <row r="106" spans="1:13">
      <c r="A106" s="30">
        <v>0</v>
      </c>
      <c r="C106" s="30" t="s">
        <v>3927</v>
      </c>
      <c r="D106" s="30" t="s">
        <v>275</v>
      </c>
      <c r="E106" s="30" t="s">
        <v>296</v>
      </c>
      <c r="F106" s="30" t="s">
        <v>1459</v>
      </c>
      <c r="G106" s="30" t="s">
        <v>1459</v>
      </c>
      <c r="H106" s="30" t="s">
        <v>2188</v>
      </c>
      <c r="I106" s="30">
        <v>0.20638000000000001</v>
      </c>
      <c r="J106" s="30">
        <v>1.656E-7</v>
      </c>
      <c r="K106" s="30">
        <v>6.3018867924528307E-6</v>
      </c>
      <c r="L106" s="30">
        <v>5.176E-2</v>
      </c>
      <c r="M106" s="1189">
        <f>I106+(J106*GWPs!$C$4)+(K106*GWPs!$C$5)</f>
        <v>0.20810534997433963</v>
      </c>
    </row>
    <row r="107" spans="1:13">
      <c r="A107" s="30">
        <v>0</v>
      </c>
      <c r="C107" s="30" t="s">
        <v>3927</v>
      </c>
      <c r="D107" s="30" t="s">
        <v>275</v>
      </c>
      <c r="E107" s="30" t="s">
        <v>296</v>
      </c>
      <c r="F107" s="30" t="s">
        <v>1459</v>
      </c>
      <c r="G107" s="30" t="s">
        <v>1459</v>
      </c>
      <c r="H107" s="30" t="s">
        <v>3928</v>
      </c>
      <c r="I107" s="30">
        <v>0.14742</v>
      </c>
      <c r="J107" s="30">
        <v>1.1840000000000001E-7</v>
      </c>
      <c r="K107" s="30">
        <v>4.4905660377358491E-6</v>
      </c>
      <c r="L107" s="30">
        <v>3.6970000000000003E-2</v>
      </c>
      <c r="M107" s="1189">
        <f>I107+(J107*GWPs!$C$4)+(K107*GWPs!$C$5)</f>
        <v>0.14864945284830189</v>
      </c>
    </row>
    <row r="108" spans="1:13">
      <c r="A108" s="30"/>
      <c r="I108" s="30"/>
      <c r="J108" s="30"/>
      <c r="K108" s="30"/>
      <c r="L108" s="30"/>
    </row>
    <row r="109" spans="1:13">
      <c r="A109" s="30"/>
      <c r="I109" s="30"/>
      <c r="J109" s="30"/>
      <c r="K109" s="30"/>
      <c r="L109" s="30"/>
    </row>
    <row r="110" spans="1:13">
      <c r="A110" s="30"/>
      <c r="I110" s="30"/>
      <c r="J110" s="30"/>
      <c r="K110" s="30"/>
      <c r="L110" s="30"/>
    </row>
    <row r="111" spans="1:13">
      <c r="A111" s="30"/>
      <c r="I111" s="30"/>
      <c r="J111" s="30"/>
      <c r="K111" s="30"/>
      <c r="L111" s="30"/>
    </row>
    <row r="112" spans="1:13">
      <c r="A112" s="30"/>
      <c r="I112" s="30"/>
      <c r="J112" s="30"/>
      <c r="K112" s="30"/>
      <c r="L112" s="30"/>
    </row>
    <row r="113" s="30" customFormat="1"/>
    <row r="114" s="30" customFormat="1"/>
    <row r="115" s="30" customFormat="1"/>
    <row r="116" s="30" customFormat="1"/>
    <row r="117" s="30" customFormat="1"/>
    <row r="118" s="30" customFormat="1"/>
    <row r="119" s="30" customFormat="1"/>
    <row r="120" s="30" customFormat="1"/>
    <row r="121" s="30" customFormat="1"/>
    <row r="122" s="30" customFormat="1"/>
    <row r="123" s="30" customFormat="1"/>
    <row r="124" s="30" customFormat="1"/>
    <row r="125" s="30" customFormat="1"/>
    <row r="126" s="30" customFormat="1"/>
    <row r="127" s="30" customFormat="1"/>
    <row r="128" s="30" customFormat="1"/>
    <row r="129" s="30" customFormat="1"/>
    <row r="130" s="30" customFormat="1"/>
    <row r="131" s="30" customFormat="1"/>
    <row r="132" s="30" customFormat="1"/>
    <row r="133" s="30" customFormat="1"/>
    <row r="134" s="30" customFormat="1"/>
    <row r="135" s="30" customFormat="1"/>
    <row r="136" s="30" customFormat="1"/>
    <row r="137" s="30" customFormat="1"/>
    <row r="138" s="30" customFormat="1"/>
    <row r="139" s="30" customFormat="1"/>
    <row r="140" s="30" customFormat="1"/>
    <row r="141" s="30" customFormat="1"/>
    <row r="142" s="30" customFormat="1"/>
    <row r="143" s="30" customFormat="1"/>
    <row r="144" s="30" customFormat="1"/>
    <row r="145" s="30" customFormat="1"/>
    <row r="146" s="30" customFormat="1"/>
    <row r="147" s="30" customFormat="1"/>
    <row r="148" s="30" customFormat="1"/>
    <row r="149" s="30" customFormat="1"/>
    <row r="150" s="30" customFormat="1"/>
    <row r="151" s="30" customFormat="1"/>
    <row r="152" s="30" customFormat="1"/>
    <row r="153" s="30" customFormat="1"/>
    <row r="154" s="30" customFormat="1"/>
    <row r="155" s="30" customFormat="1"/>
    <row r="156" s="30" customFormat="1"/>
    <row r="157" s="30" customFormat="1"/>
    <row r="158" s="30" customFormat="1"/>
    <row r="159" s="30" customFormat="1"/>
    <row r="160" s="30" customFormat="1"/>
    <row r="161" s="30" customFormat="1"/>
    <row r="162" s="30" customFormat="1"/>
    <row r="163" s="30" customFormat="1"/>
    <row r="164" s="30" customFormat="1"/>
    <row r="165" s="30" customFormat="1"/>
    <row r="166" s="30" customFormat="1"/>
    <row r="167" s="30" customFormat="1"/>
    <row r="168" s="30" customFormat="1"/>
    <row r="169" s="30" customFormat="1"/>
    <row r="170" s="30" customFormat="1"/>
    <row r="171" s="30" customFormat="1"/>
    <row r="172" s="30" customFormat="1"/>
    <row r="173" s="30" customFormat="1"/>
    <row r="174" s="30" customFormat="1"/>
    <row r="175" s="30" customFormat="1"/>
    <row r="176" s="30" customFormat="1"/>
    <row r="177" s="30" customFormat="1"/>
    <row r="178" s="30" customFormat="1"/>
    <row r="179" s="30" customFormat="1"/>
    <row r="180" s="30" customFormat="1"/>
    <row r="181" s="30" customFormat="1"/>
    <row r="182" s="30" customFormat="1"/>
    <row r="183" s="30" customFormat="1"/>
    <row r="184" s="30" customFormat="1"/>
    <row r="185" s="30" customFormat="1"/>
    <row r="186" s="30" customFormat="1"/>
    <row r="187" s="30" customFormat="1"/>
    <row r="188" s="30" customFormat="1"/>
    <row r="189" s="30" customFormat="1"/>
    <row r="190" s="30" customFormat="1"/>
    <row r="191" s="30" customFormat="1"/>
    <row r="192" s="30" customFormat="1"/>
    <row r="193" s="30" customFormat="1"/>
    <row r="194" s="30" customFormat="1"/>
    <row r="195" s="30" customFormat="1"/>
    <row r="196" s="30" customFormat="1"/>
    <row r="197" s="30" customFormat="1"/>
    <row r="198" s="30" customFormat="1"/>
    <row r="199" s="30" customFormat="1"/>
    <row r="200" s="30" customFormat="1"/>
    <row r="201" s="30" customFormat="1"/>
    <row r="202" s="30" customFormat="1"/>
    <row r="203" s="30" customFormat="1"/>
    <row r="204" s="30" customFormat="1"/>
    <row r="205" s="30" customFormat="1"/>
    <row r="206" s="30" customFormat="1"/>
    <row r="207" s="30" customFormat="1"/>
    <row r="208" s="30" customFormat="1"/>
    <row r="209" s="30" customFormat="1"/>
    <row r="210" s="30" customFormat="1"/>
    <row r="211" s="30" customFormat="1"/>
    <row r="212" s="30" customFormat="1"/>
    <row r="213" s="30" customFormat="1"/>
    <row r="214" s="30" customFormat="1"/>
    <row r="215" s="30" customFormat="1"/>
    <row r="216" s="30" customFormat="1"/>
    <row r="217" s="30" customFormat="1"/>
    <row r="218" s="30" customFormat="1"/>
    <row r="219" s="30" customFormat="1"/>
    <row r="220" s="30" customFormat="1"/>
    <row r="221" s="30" customFormat="1"/>
    <row r="222" s="30" customFormat="1"/>
    <row r="223" s="30" customFormat="1"/>
    <row r="224" s="30" customFormat="1"/>
    <row r="225" s="30" customFormat="1"/>
    <row r="226" s="30" customFormat="1"/>
    <row r="227" s="30" customFormat="1"/>
    <row r="228" s="30" customFormat="1"/>
    <row r="229" s="30" customFormat="1"/>
    <row r="230" s="30" customFormat="1"/>
    <row r="231" s="30" customFormat="1"/>
    <row r="232" s="30" customFormat="1"/>
    <row r="233" s="30" customFormat="1"/>
    <row r="234" s="30" customFormat="1"/>
    <row r="235" s="30" customFormat="1"/>
    <row r="236" s="30" customFormat="1"/>
    <row r="237" s="30" customFormat="1"/>
    <row r="238" s="30" customFormat="1"/>
    <row r="239" s="30" customFormat="1"/>
    <row r="240" s="30" customFormat="1"/>
    <row r="241" s="30" customFormat="1"/>
    <row r="242" s="30" customFormat="1"/>
    <row r="243" s="30" customFormat="1"/>
    <row r="244" s="30" customFormat="1"/>
    <row r="245" s="30" customFormat="1"/>
    <row r="246" s="30" customFormat="1"/>
    <row r="247" s="30" customFormat="1"/>
    <row r="248" s="30" customFormat="1"/>
    <row r="249" s="30" customFormat="1"/>
    <row r="250" s="30" customFormat="1"/>
    <row r="251" s="30" customFormat="1"/>
    <row r="252" s="30" customFormat="1"/>
    <row r="253" s="30" customFormat="1"/>
    <row r="254" s="30" customFormat="1"/>
    <row r="255" s="30" customFormat="1"/>
    <row r="256" s="30" customFormat="1"/>
    <row r="257" s="30" customFormat="1"/>
    <row r="258" s="30" customFormat="1"/>
    <row r="259" s="30" customFormat="1"/>
    <row r="260" s="30" customFormat="1"/>
    <row r="261" s="30" customFormat="1"/>
    <row r="262" s="30" customFormat="1"/>
    <row r="263" s="30" customFormat="1"/>
    <row r="264" s="30" customFormat="1"/>
    <row r="265" s="30" customFormat="1"/>
    <row r="266" s="30" customFormat="1"/>
    <row r="267" s="30" customFormat="1"/>
    <row r="268" s="30" customFormat="1"/>
    <row r="269" s="30" customFormat="1"/>
    <row r="270" s="30" customFormat="1"/>
    <row r="271" s="30" customFormat="1"/>
    <row r="272" s="30" customFormat="1"/>
    <row r="273" s="30" customFormat="1"/>
    <row r="274" s="30" customFormat="1"/>
    <row r="275" s="30" customFormat="1"/>
    <row r="276" s="30" customFormat="1"/>
    <row r="277" s="30" customFormat="1"/>
    <row r="278" s="30" customFormat="1"/>
    <row r="279" s="30" customFormat="1"/>
    <row r="280" s="30" customFormat="1"/>
    <row r="281" s="30" customFormat="1"/>
    <row r="282" s="30" customFormat="1"/>
    <row r="283" s="30" customFormat="1"/>
    <row r="284" s="30" customFormat="1"/>
  </sheetData>
  <sheetProtection algorithmName="SHA-512" hashValue="AqWDQlg3PQVX3GM2lbg5OJdukZv3/w2wnXDFGaMAoi339VtqXwpiex7KuED7lQehUfs9f1JIjTDXaKtVuJ142w==" saltValue="t6P5u7xZAG/EmdKD2LIU/w==" spinCount="100000" sheet="1" objects="1" scenarios="1" selectLockedCells="1" selectUnlockedCells="1"/>
  <autoFilter ref="B87:M111" xr:uid="{437F7AE9-79A1-4243-B41E-698116F043BA}"/>
  <mergeCells count="1">
    <mergeCell ref="T17:V17"/>
  </mergeCells>
  <hyperlinks>
    <hyperlink ref="Y3" r:id="rId1" xr:uid="{7B8241B7-0E99-497A-9112-368FB709B073}"/>
  </hyperlinks>
  <pageMargins left="0.7" right="0.7" top="0.75" bottom="0.75" header="0.3" footer="0.3"/>
  <tableParts count="9">
    <tablePart r:id="rId2"/>
    <tablePart r:id="rId3"/>
    <tablePart r:id="rId4"/>
    <tablePart r:id="rId5"/>
    <tablePart r:id="rId6"/>
    <tablePart r:id="rId7"/>
    <tablePart r:id="rId8"/>
    <tablePart r:id="rId9"/>
    <tablePart r:id="rId10"/>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8D5BA-C3BD-45DB-B05E-AE6E96B06874}">
  <sheetPr codeName="Sheet41"/>
  <dimension ref="A1:L73"/>
  <sheetViews>
    <sheetView showGridLines="0" workbookViewId="0">
      <selection sqref="A1:XFD1048576"/>
    </sheetView>
  </sheetViews>
  <sheetFormatPr defaultColWidth="8.875" defaultRowHeight="14.25"/>
  <cols>
    <col min="1" max="1" width="8.875" style="30"/>
    <col min="2" max="2" width="22.875" style="30" bestFit="1" customWidth="1"/>
    <col min="3" max="3" width="11.375" style="30" bestFit="1" customWidth="1"/>
    <col min="4" max="4" width="20.875" style="30" bestFit="1" customWidth="1"/>
    <col min="5" max="5" width="12.5" style="30" bestFit="1" customWidth="1"/>
    <col min="6" max="6" width="11.375" style="30" bestFit="1" customWidth="1"/>
    <col min="7" max="7" width="11.625" style="30" customWidth="1"/>
    <col min="8" max="8" width="9.5" style="30" bestFit="1" customWidth="1"/>
    <col min="9" max="16384" width="8.875" style="30"/>
  </cols>
  <sheetData>
    <row r="1" spans="1:12">
      <c r="A1" s="1221" t="s">
        <v>3943</v>
      </c>
      <c r="B1" s="1221"/>
      <c r="C1" s="1221"/>
      <c r="D1" s="1221"/>
      <c r="E1" s="1221"/>
      <c r="F1" s="1221"/>
      <c r="G1" s="1221"/>
      <c r="H1" s="1221"/>
      <c r="I1" s="1221"/>
      <c r="J1" s="1221"/>
      <c r="K1" s="1221"/>
      <c r="L1" s="1221"/>
    </row>
    <row r="2" spans="1:12" ht="20.25">
      <c r="A2" s="1222" t="s">
        <v>3944</v>
      </c>
      <c r="B2" s="1222"/>
      <c r="C2" s="1222"/>
      <c r="D2" s="1222"/>
      <c r="E2" s="1222"/>
      <c r="F2" s="1222"/>
      <c r="G2" s="1223"/>
      <c r="H2" s="1223"/>
      <c r="I2" s="1223"/>
      <c r="J2" s="1223"/>
      <c r="K2" s="1223"/>
      <c r="L2" s="1223"/>
    </row>
    <row r="3" spans="1:12">
      <c r="A3" s="1224" t="s">
        <v>3945</v>
      </c>
      <c r="B3" s="1223"/>
      <c r="C3" s="1223"/>
      <c r="D3" s="1223"/>
      <c r="E3" s="1223"/>
      <c r="F3" s="1223"/>
      <c r="G3" s="1223"/>
      <c r="H3" s="1223"/>
      <c r="I3" s="1223"/>
      <c r="J3" s="1223"/>
      <c r="K3" s="1223"/>
      <c r="L3" s="1223"/>
    </row>
    <row r="4" spans="1:12" ht="15" thickBot="1">
      <c r="A4" s="1225"/>
      <c r="B4" s="1225"/>
      <c r="C4" s="1225"/>
      <c r="D4" s="1225"/>
      <c r="E4" s="1225"/>
      <c r="F4" s="1225"/>
      <c r="G4" s="1225"/>
      <c r="H4" s="1225"/>
      <c r="I4" s="1225"/>
      <c r="J4" s="1225"/>
      <c r="K4" s="1225"/>
      <c r="L4" s="1225"/>
    </row>
    <row r="5" spans="1:12" ht="45.75" thickTop="1">
      <c r="A5" s="1226" t="s">
        <v>3946</v>
      </c>
      <c r="B5" s="1227" t="s">
        <v>3947</v>
      </c>
      <c r="C5" s="1228" t="s">
        <v>3948</v>
      </c>
      <c r="D5" s="1229">
        <v>45818</v>
      </c>
      <c r="E5" s="1230" t="s">
        <v>3949</v>
      </c>
      <c r="F5" s="1229" t="s">
        <v>3950</v>
      </c>
      <c r="G5" s="1223"/>
      <c r="H5" s="1223"/>
      <c r="I5" s="1223"/>
      <c r="J5" s="1223"/>
      <c r="K5" s="1223"/>
      <c r="L5" s="1223"/>
    </row>
    <row r="6" spans="1:12" ht="15.75" thickBot="1">
      <c r="A6" s="1231" t="s">
        <v>3951</v>
      </c>
      <c r="B6" s="1232" t="s">
        <v>1966</v>
      </c>
      <c r="C6" s="1233" t="s">
        <v>3952</v>
      </c>
      <c r="D6" s="1234">
        <v>1</v>
      </c>
      <c r="E6" s="1235" t="s">
        <v>1206</v>
      </c>
      <c r="F6" s="1236">
        <v>2024</v>
      </c>
      <c r="G6" s="1223"/>
      <c r="H6" s="1223"/>
      <c r="I6" s="1223"/>
      <c r="J6" s="1223"/>
      <c r="K6" s="1223"/>
      <c r="L6" s="1223"/>
    </row>
    <row r="7" spans="1:12" ht="15.75" thickTop="1" thickBot="1">
      <c r="A7" s="1223"/>
      <c r="B7" s="1223"/>
      <c r="C7" s="1223"/>
      <c r="D7" s="1223"/>
      <c r="E7" s="1223"/>
      <c r="F7" s="1223"/>
      <c r="G7" s="1223"/>
      <c r="H7" s="1223"/>
      <c r="I7" s="1223"/>
      <c r="J7" s="1223"/>
      <c r="K7" s="1223"/>
      <c r="L7" s="1223"/>
    </row>
    <row r="8" spans="1:12" ht="15.75" thickTop="1" thickBot="1">
      <c r="A8" s="1590" t="s">
        <v>3953</v>
      </c>
      <c r="B8" s="1591"/>
      <c r="C8" s="1591"/>
      <c r="D8" s="1591"/>
      <c r="E8" s="1591"/>
      <c r="F8" s="1591"/>
      <c r="G8" s="1591"/>
      <c r="H8" s="1591"/>
      <c r="I8" s="1591"/>
      <c r="J8" s="1591"/>
      <c r="K8" s="1591"/>
      <c r="L8" s="1592"/>
    </row>
    <row r="9" spans="1:12" ht="15" thickTop="1">
      <c r="A9" s="1223"/>
      <c r="B9" s="1223"/>
      <c r="C9" s="1223"/>
      <c r="D9" s="1223"/>
      <c r="E9" s="1223"/>
      <c r="F9" s="1223"/>
      <c r="G9" s="1223"/>
      <c r="H9" s="1223"/>
      <c r="I9" s="1223"/>
      <c r="J9" s="1223"/>
      <c r="K9" s="1223"/>
      <c r="L9" s="1223"/>
    </row>
    <row r="10" spans="1:12" ht="15">
      <c r="A10" s="1593" t="s">
        <v>3954</v>
      </c>
      <c r="B10" s="1593"/>
      <c r="C10" s="1593"/>
      <c r="D10" s="1593"/>
      <c r="E10" s="1593"/>
      <c r="F10" s="1593"/>
      <c r="G10" s="1593"/>
      <c r="H10" s="1593"/>
      <c r="I10" s="1593"/>
      <c r="J10" s="1593"/>
      <c r="K10" s="1593"/>
      <c r="L10" s="1593"/>
    </row>
    <row r="11" spans="1:12">
      <c r="A11" s="1223" t="s">
        <v>3955</v>
      </c>
      <c r="B11" s="1223"/>
      <c r="C11" s="1223"/>
      <c r="D11" s="1223"/>
      <c r="E11" s="1223"/>
      <c r="F11" s="1223"/>
      <c r="G11" s="1223"/>
      <c r="H11" s="1223"/>
      <c r="I11" s="1223"/>
      <c r="J11" s="1223"/>
      <c r="K11" s="1223"/>
      <c r="L11" s="1223"/>
    </row>
    <row r="12" spans="1:12">
      <c r="A12" s="1223"/>
      <c r="B12" s="1223"/>
      <c r="C12" s="1223"/>
      <c r="D12" s="1223"/>
      <c r="E12" s="1223"/>
      <c r="F12" s="1223"/>
      <c r="G12" s="1223"/>
      <c r="H12" s="1223"/>
      <c r="I12" s="1223"/>
      <c r="J12" s="1223"/>
      <c r="K12" s="1223"/>
      <c r="L12" s="1223"/>
    </row>
    <row r="13" spans="1:12" ht="15">
      <c r="A13" s="1593" t="s">
        <v>3956</v>
      </c>
      <c r="B13" s="1593"/>
      <c r="C13" s="1593"/>
      <c r="D13" s="1593"/>
      <c r="E13" s="1593"/>
      <c r="F13" s="1593"/>
      <c r="G13" s="1593"/>
      <c r="H13" s="1593"/>
      <c r="I13" s="1593"/>
      <c r="J13" s="1593"/>
      <c r="K13" s="1593"/>
      <c r="L13" s="1593"/>
    </row>
    <row r="14" spans="1:12" ht="36" customHeight="1">
      <c r="A14" s="1594" t="s">
        <v>3957</v>
      </c>
      <c r="B14" s="1594"/>
      <c r="C14" s="1594"/>
      <c r="D14" s="1594"/>
      <c r="E14" s="1594"/>
      <c r="F14" s="1594"/>
      <c r="G14" s="1594"/>
      <c r="H14" s="1594"/>
      <c r="I14" s="1594"/>
      <c r="J14" s="1594"/>
      <c r="K14" s="1594"/>
      <c r="L14" s="1594"/>
    </row>
    <row r="15" spans="1:12">
      <c r="A15" s="1594" t="s">
        <v>3958</v>
      </c>
      <c r="B15" s="1594"/>
      <c r="C15" s="1594"/>
      <c r="D15" s="1594"/>
      <c r="E15" s="1594"/>
      <c r="F15" s="1594"/>
      <c r="G15" s="1594"/>
      <c r="H15" s="1594"/>
      <c r="I15" s="1594"/>
      <c r="J15" s="1594"/>
      <c r="K15" s="1594"/>
      <c r="L15" s="1594"/>
    </row>
    <row r="16" spans="1:12">
      <c r="A16" s="1223"/>
      <c r="B16" s="1223"/>
      <c r="C16" s="1223"/>
      <c r="D16" s="1223"/>
      <c r="E16" s="1223"/>
      <c r="F16" s="1223"/>
      <c r="G16" s="1223"/>
      <c r="H16" s="1223"/>
      <c r="I16" s="1223"/>
      <c r="J16" s="1223"/>
      <c r="K16" s="1223"/>
      <c r="L16" s="1223"/>
    </row>
    <row r="17" spans="1:12">
      <c r="A17" s="1223"/>
      <c r="B17" s="1223"/>
      <c r="C17" s="1223"/>
      <c r="D17" s="1223"/>
      <c r="E17" s="1223"/>
      <c r="F17" s="1223"/>
      <c r="G17" s="1223"/>
      <c r="H17" s="1223"/>
      <c r="I17" s="1223"/>
      <c r="J17" s="1223"/>
      <c r="K17" s="1223"/>
      <c r="L17" s="1223"/>
    </row>
    <row r="18" spans="1:12" ht="15" thickBot="1">
      <c r="A18" s="1223"/>
      <c r="B18" s="1223"/>
      <c r="C18" s="1223"/>
      <c r="D18" s="1223"/>
      <c r="E18" s="1223"/>
      <c r="F18" s="1223"/>
      <c r="G18" s="1223"/>
      <c r="H18" s="1223"/>
      <c r="I18" s="1223"/>
      <c r="J18" s="1223"/>
      <c r="K18" s="1223"/>
      <c r="L18" s="1223"/>
    </row>
    <row r="19" spans="1:12" ht="15.75" thickTop="1" thickBot="1">
      <c r="A19" s="1223"/>
      <c r="B19" s="1223"/>
      <c r="C19" s="1237" t="s">
        <v>3959</v>
      </c>
      <c r="D19" s="1237" t="s">
        <v>3960</v>
      </c>
      <c r="E19" s="1237" t="s">
        <v>3961</v>
      </c>
      <c r="F19" s="1223"/>
      <c r="G19" s="1223"/>
      <c r="H19" s="1223"/>
      <c r="I19" s="1223"/>
      <c r="J19" s="1223"/>
      <c r="K19" s="1223"/>
      <c r="L19" s="1223"/>
    </row>
    <row r="20" spans="1:12" ht="18.75" thickTop="1" thickBot="1">
      <c r="A20" s="1587" t="s">
        <v>3962</v>
      </c>
      <c r="B20" s="1238" t="s">
        <v>3963</v>
      </c>
      <c r="C20" s="1239" t="s">
        <v>3964</v>
      </c>
      <c r="D20" s="1240">
        <v>1000</v>
      </c>
      <c r="E20" s="1239" t="s">
        <v>3965</v>
      </c>
      <c r="F20" s="1223"/>
      <c r="G20" s="1223"/>
      <c r="H20" s="1223"/>
      <c r="I20" s="1223"/>
      <c r="J20" s="1223"/>
      <c r="K20" s="1223"/>
      <c r="L20" s="1223"/>
    </row>
    <row r="21" spans="1:12" ht="18.75" thickTop="1" thickBot="1">
      <c r="A21" s="1588"/>
      <c r="B21" s="1238" t="s">
        <v>3966</v>
      </c>
      <c r="C21" s="1241" t="s">
        <v>3967</v>
      </c>
      <c r="D21" s="1242">
        <v>1000000</v>
      </c>
      <c r="E21" s="1241" t="s">
        <v>3968</v>
      </c>
      <c r="F21" s="1223"/>
      <c r="G21" s="1223"/>
      <c r="H21" s="1223"/>
      <c r="I21" s="1223"/>
      <c r="J21" s="1223"/>
      <c r="K21" s="1223"/>
      <c r="L21" s="1223"/>
    </row>
    <row r="22" spans="1:12" ht="18.75" thickTop="1" thickBot="1">
      <c r="A22" s="1588"/>
      <c r="B22" s="1238" t="s">
        <v>3969</v>
      </c>
      <c r="C22" s="1241" t="s">
        <v>3970</v>
      </c>
      <c r="D22" s="1242">
        <v>1000000000</v>
      </c>
      <c r="E22" s="1241" t="s">
        <v>3971</v>
      </c>
      <c r="F22" s="1223"/>
      <c r="G22" s="1223"/>
      <c r="H22" s="1223"/>
      <c r="I22" s="1223"/>
      <c r="J22" s="1223"/>
      <c r="K22" s="1223"/>
      <c r="L22" s="1223"/>
    </row>
    <row r="23" spans="1:12" ht="18.75" thickTop="1" thickBot="1">
      <c r="A23" s="1588"/>
      <c r="B23" s="1238" t="s">
        <v>3972</v>
      </c>
      <c r="C23" s="1241" t="s">
        <v>3973</v>
      </c>
      <c r="D23" s="1242">
        <v>1000000000000</v>
      </c>
      <c r="E23" s="1241" t="s">
        <v>3974</v>
      </c>
      <c r="F23" s="1223"/>
      <c r="G23" s="1223"/>
      <c r="H23" s="1223"/>
      <c r="I23" s="1223"/>
      <c r="J23" s="1223"/>
      <c r="K23" s="1223"/>
      <c r="L23" s="1223"/>
    </row>
    <row r="24" spans="1:12" ht="18.75" thickTop="1" thickBot="1">
      <c r="A24" s="1589"/>
      <c r="B24" s="1238" t="s">
        <v>3975</v>
      </c>
      <c r="C24" s="1243" t="s">
        <v>3976</v>
      </c>
      <c r="D24" s="1244">
        <v>1000000000000000</v>
      </c>
      <c r="E24" s="1243" t="s">
        <v>3977</v>
      </c>
      <c r="F24" s="1223"/>
      <c r="G24" s="1223"/>
      <c r="H24" s="1223"/>
      <c r="I24" s="1223"/>
      <c r="J24" s="1223"/>
      <c r="K24" s="1223"/>
      <c r="L24" s="1223"/>
    </row>
    <row r="25" spans="1:12" ht="15" thickTop="1">
      <c r="A25" s="1245"/>
      <c r="B25" s="1223"/>
      <c r="C25" s="1223"/>
      <c r="D25" s="1223"/>
      <c r="E25" s="1223"/>
      <c r="F25" s="1223"/>
      <c r="G25" s="1223"/>
      <c r="H25" s="1223"/>
      <c r="I25" s="1223"/>
      <c r="J25" s="1223"/>
      <c r="K25" s="1223"/>
      <c r="L25" s="1223"/>
    </row>
    <row r="26" spans="1:12" ht="15" thickBot="1">
      <c r="A26" s="1223"/>
      <c r="B26" s="1223"/>
      <c r="C26" s="1223"/>
      <c r="D26" s="1223"/>
      <c r="E26" s="1223"/>
      <c r="F26" s="1223"/>
      <c r="G26" s="1223"/>
      <c r="H26" s="1223"/>
      <c r="I26" s="1223"/>
      <c r="J26" s="1223"/>
      <c r="K26" s="1223"/>
      <c r="L26" s="1223"/>
    </row>
    <row r="27" spans="1:12" ht="15.75" thickTop="1" thickBot="1">
      <c r="A27" s="1223"/>
      <c r="B27" s="1246"/>
      <c r="C27" s="1237" t="s">
        <v>1718</v>
      </c>
      <c r="D27" s="1237" t="s">
        <v>1719</v>
      </c>
      <c r="E27" s="1237" t="s">
        <v>1720</v>
      </c>
      <c r="F27" s="1237" t="s">
        <v>1721</v>
      </c>
      <c r="G27" s="1237" t="s">
        <v>1722</v>
      </c>
      <c r="H27" s="1223"/>
      <c r="I27" s="1223"/>
      <c r="J27" s="1223"/>
      <c r="K27" s="1223"/>
      <c r="L27" s="1223"/>
    </row>
    <row r="28" spans="1:12" ht="15.75" thickTop="1" thickBot="1">
      <c r="A28" s="1584" t="s">
        <v>3978</v>
      </c>
      <c r="B28" s="1238" t="s">
        <v>1723</v>
      </c>
      <c r="C28" s="1247"/>
      <c r="D28" s="1248">
        <v>277.77777777799997</v>
      </c>
      <c r="E28" s="1249">
        <v>9.4781707770000008</v>
      </c>
      <c r="F28" s="1249">
        <v>2.3884590000000001E-2</v>
      </c>
      <c r="G28" s="1250">
        <v>238902.95761861501</v>
      </c>
      <c r="H28" s="1223"/>
      <c r="I28" s="1223"/>
      <c r="J28" s="1223"/>
      <c r="K28" s="1223"/>
      <c r="L28" s="1223"/>
    </row>
    <row r="29" spans="1:12" ht="15.75" thickTop="1" thickBot="1">
      <c r="A29" s="1585"/>
      <c r="B29" s="1238" t="s">
        <v>1724</v>
      </c>
      <c r="C29" s="1251">
        <v>3.5999999999971203E-3</v>
      </c>
      <c r="D29" s="1252"/>
      <c r="E29" s="1253">
        <v>3.4121414797172706E-2</v>
      </c>
      <c r="F29" s="1253">
        <v>8.5984523999931223E-5</v>
      </c>
      <c r="G29" s="1254">
        <v>860.05064742632601</v>
      </c>
      <c r="H29" s="1223"/>
      <c r="I29" s="1223"/>
      <c r="J29" s="1223"/>
      <c r="K29" s="1223"/>
      <c r="L29" s="1223"/>
    </row>
    <row r="30" spans="1:12" ht="15.75" thickTop="1" thickBot="1">
      <c r="A30" s="1585"/>
      <c r="B30" s="1238" t="s">
        <v>15</v>
      </c>
      <c r="C30" s="1255">
        <v>0.10550559000547115</v>
      </c>
      <c r="D30" s="1256">
        <v>29.307108334876538</v>
      </c>
      <c r="E30" s="1252"/>
      <c r="F30" s="1253">
        <v>2.5199577599887761E-3</v>
      </c>
      <c r="G30" s="1257">
        <v>25205.597497604045</v>
      </c>
      <c r="H30" s="1223"/>
      <c r="I30" s="1223"/>
      <c r="J30" s="1223"/>
      <c r="K30" s="1223"/>
      <c r="L30" s="1223"/>
    </row>
    <row r="31" spans="1:12" ht="15.75" thickTop="1" thickBot="1">
      <c r="A31" s="1585"/>
      <c r="B31" s="1238" t="s">
        <v>1725</v>
      </c>
      <c r="C31" s="1258">
        <v>41.867999408823849</v>
      </c>
      <c r="D31" s="1259">
        <v>11629.999835793706</v>
      </c>
      <c r="E31" s="1260">
        <v>396.83204848816752</v>
      </c>
      <c r="F31" s="1252"/>
      <c r="G31" s="1257">
        <v>10002388.888342442</v>
      </c>
      <c r="H31" s="1223"/>
      <c r="I31" s="1223"/>
      <c r="J31" s="1223"/>
      <c r="K31" s="1223"/>
      <c r="L31" s="1223"/>
    </row>
    <row r="32" spans="1:12" ht="15.75" thickTop="1" thickBot="1">
      <c r="A32" s="1586"/>
      <c r="B32" s="1238" t="s">
        <v>1726</v>
      </c>
      <c r="C32" s="1261">
        <v>4.1858000000000057E-6</v>
      </c>
      <c r="D32" s="1262">
        <v>1.1627222222231539E-3</v>
      </c>
      <c r="E32" s="1263">
        <v>3.9673727238366659E-5</v>
      </c>
      <c r="F32" s="1263">
        <v>9.9976116822000138E-8</v>
      </c>
      <c r="G32" s="1264"/>
      <c r="H32" s="1223"/>
      <c r="I32" s="1223"/>
      <c r="J32" s="1223"/>
      <c r="K32" s="1223"/>
      <c r="L32" s="1223"/>
    </row>
    <row r="33" spans="1:12" ht="15" thickTop="1">
      <c r="A33" s="1223"/>
      <c r="B33" s="1223"/>
      <c r="C33" s="1223"/>
      <c r="D33" s="1223"/>
      <c r="E33" s="1223"/>
      <c r="F33" s="1223"/>
      <c r="G33" s="1223"/>
      <c r="H33" s="1223"/>
      <c r="I33" s="1223"/>
      <c r="J33" s="1223"/>
      <c r="K33" s="1223"/>
      <c r="L33" s="1223"/>
    </row>
    <row r="34" spans="1:12" ht="15" thickBot="1">
      <c r="A34" s="1223"/>
      <c r="B34" s="1223"/>
      <c r="C34" s="1223"/>
      <c r="D34" s="1223"/>
      <c r="E34" s="1223"/>
      <c r="F34" s="1223"/>
      <c r="G34" s="1223"/>
      <c r="H34" s="1223"/>
      <c r="I34" s="1223"/>
      <c r="J34" s="1223"/>
      <c r="K34" s="1223"/>
      <c r="L34" s="1223"/>
    </row>
    <row r="35" spans="1:12" ht="18.75" thickTop="1" thickBot="1">
      <c r="A35" s="1223"/>
      <c r="B35" s="1246"/>
      <c r="C35" s="1237" t="s">
        <v>1708</v>
      </c>
      <c r="D35" s="1237" t="s">
        <v>1709</v>
      </c>
      <c r="E35" s="1237" t="s">
        <v>1710</v>
      </c>
      <c r="F35" s="1237" t="s">
        <v>1711</v>
      </c>
      <c r="G35" s="1237" t="s">
        <v>14</v>
      </c>
      <c r="H35" s="1237" t="s">
        <v>1712</v>
      </c>
      <c r="I35" s="1223"/>
      <c r="J35" s="1223"/>
      <c r="K35" s="1223"/>
      <c r="L35" s="1223"/>
    </row>
    <row r="36" spans="1:12" ht="15.75" thickTop="1" thickBot="1">
      <c r="A36" s="1584" t="s">
        <v>3979</v>
      </c>
      <c r="B36" s="1238" t="s">
        <v>1713</v>
      </c>
      <c r="C36" s="1247"/>
      <c r="D36" s="1265">
        <v>1E-3</v>
      </c>
      <c r="E36" s="1266">
        <v>3.5314667000000001E-2</v>
      </c>
      <c r="F36" s="1266">
        <v>0.21996924800000001</v>
      </c>
      <c r="G36" s="1266">
        <v>0.26417205100000002</v>
      </c>
      <c r="H36" s="1267">
        <v>6.2898110000000002E-3</v>
      </c>
      <c r="I36" s="1223"/>
      <c r="J36" s="1223"/>
      <c r="K36" s="1223"/>
      <c r="L36" s="1223"/>
    </row>
    <row r="37" spans="1:12" ht="18.75" thickTop="1" thickBot="1">
      <c r="A37" s="1585"/>
      <c r="B37" s="1238" t="s">
        <v>1714</v>
      </c>
      <c r="C37" s="1268">
        <v>1000</v>
      </c>
      <c r="D37" s="1252"/>
      <c r="E37" s="1269">
        <v>35.314667</v>
      </c>
      <c r="F37" s="1270">
        <v>219.96924799999999</v>
      </c>
      <c r="G37" s="1270">
        <v>264.17205100000001</v>
      </c>
      <c r="H37" s="1271">
        <v>6.2898110000000003</v>
      </c>
      <c r="I37" s="1223"/>
      <c r="J37" s="1223"/>
      <c r="K37" s="1223"/>
      <c r="L37" s="1223"/>
    </row>
    <row r="38" spans="1:12" ht="15.75" thickTop="1" thickBot="1">
      <c r="A38" s="1585"/>
      <c r="B38" s="1238" t="s">
        <v>1715</v>
      </c>
      <c r="C38" s="1272">
        <v>28.316846368677353</v>
      </c>
      <c r="D38" s="1273">
        <v>2.8316846368677356E-2</v>
      </c>
      <c r="E38" s="1252"/>
      <c r="F38" s="1274">
        <v>6.228835401449488</v>
      </c>
      <c r="G38" s="1273">
        <v>7.4805193830653991</v>
      </c>
      <c r="H38" s="1275">
        <v>0.17810761177501688</v>
      </c>
      <c r="I38" s="1223"/>
      <c r="J38" s="1223"/>
      <c r="K38" s="1223"/>
      <c r="L38" s="1223"/>
    </row>
    <row r="39" spans="1:12" ht="15.75" thickTop="1" thickBot="1">
      <c r="A39" s="1585"/>
      <c r="B39" s="1238" t="s">
        <v>1716</v>
      </c>
      <c r="C39" s="1276">
        <v>4.5460900061812275</v>
      </c>
      <c r="D39" s="1273">
        <v>4.5460900061812274E-3</v>
      </c>
      <c r="E39" s="1273">
        <v>0.16054365472031801</v>
      </c>
      <c r="F39" s="1252"/>
      <c r="G39" s="1273">
        <v>1.2009499209634977</v>
      </c>
      <c r="H39" s="1277">
        <v>2.8594046927868752E-2</v>
      </c>
      <c r="I39" s="1223"/>
      <c r="J39" s="1223"/>
      <c r="K39" s="1223"/>
      <c r="L39" s="1223"/>
    </row>
    <row r="40" spans="1:12" ht="15.75" thickTop="1" thickBot="1">
      <c r="A40" s="1585"/>
      <c r="B40" s="1238" t="s">
        <v>14</v>
      </c>
      <c r="C40" s="1278">
        <v>3.7854118034613733</v>
      </c>
      <c r="D40" s="1279">
        <v>3.7854118034613732E-3</v>
      </c>
      <c r="E40" s="1273">
        <v>0.13368055729710784</v>
      </c>
      <c r="F40" s="1273">
        <v>0.83267418777772206</v>
      </c>
      <c r="G40" s="1252"/>
      <c r="H40" s="1277">
        <v>2.3809524800941183E-2</v>
      </c>
      <c r="I40" s="1223"/>
      <c r="J40" s="1223"/>
      <c r="K40" s="1223"/>
      <c r="L40" s="1223"/>
    </row>
    <row r="41" spans="1:12" ht="15.75" thickTop="1" thickBot="1">
      <c r="A41" s="1586"/>
      <c r="B41" s="1238" t="s">
        <v>1717</v>
      </c>
      <c r="C41" s="1280">
        <v>158.98728912522174</v>
      </c>
      <c r="D41" s="1281">
        <v>0.15898728912522173</v>
      </c>
      <c r="E41" s="1282">
        <v>5.6145831726899269</v>
      </c>
      <c r="F41" s="1283">
        <v>34.972314430433606</v>
      </c>
      <c r="G41" s="1284">
        <v>41.999998251139822</v>
      </c>
      <c r="H41" s="1264"/>
      <c r="I41" s="1223"/>
      <c r="J41" s="1223"/>
      <c r="K41" s="1223"/>
      <c r="L41" s="1223"/>
    </row>
    <row r="42" spans="1:12" ht="15" thickTop="1">
      <c r="A42" s="1223"/>
      <c r="B42" s="1223"/>
      <c r="C42" s="1223"/>
      <c r="D42" s="1223"/>
      <c r="E42" s="1223"/>
      <c r="F42" s="1223"/>
      <c r="G42" s="1223"/>
      <c r="H42" s="1223"/>
      <c r="I42" s="1223"/>
      <c r="J42" s="1223"/>
      <c r="K42" s="1223"/>
      <c r="L42" s="1223"/>
    </row>
    <row r="43" spans="1:12" ht="15" thickBot="1">
      <c r="A43" s="1223"/>
      <c r="B43" s="1223"/>
      <c r="C43" s="1223"/>
      <c r="D43" s="1223"/>
      <c r="E43" s="1223"/>
      <c r="F43" s="1223"/>
      <c r="G43" s="1223"/>
      <c r="H43" s="1223"/>
      <c r="I43" s="1223"/>
      <c r="J43" s="1223"/>
      <c r="K43" s="1223"/>
      <c r="L43" s="1223"/>
    </row>
    <row r="44" spans="1:12" ht="16.5" thickTop="1" thickBot="1">
      <c r="A44" s="1223"/>
      <c r="B44" s="1285"/>
      <c r="C44" s="1237" t="s">
        <v>12</v>
      </c>
      <c r="D44" s="1237" t="s">
        <v>1700</v>
      </c>
      <c r="E44" s="1237" t="s">
        <v>1701</v>
      </c>
      <c r="F44" s="1237" t="s">
        <v>1702</v>
      </c>
      <c r="G44" s="1237" t="s">
        <v>13</v>
      </c>
      <c r="H44" s="1223"/>
      <c r="I44" s="1223"/>
      <c r="J44" s="1223"/>
      <c r="K44" s="1223"/>
      <c r="L44" s="1223"/>
    </row>
    <row r="45" spans="1:12" ht="15.75" thickTop="1" thickBot="1">
      <c r="A45" s="1587" t="s">
        <v>3980</v>
      </c>
      <c r="B45" s="1238" t="s">
        <v>1703</v>
      </c>
      <c r="C45" s="1247"/>
      <c r="D45" s="1265">
        <v>1E-3</v>
      </c>
      <c r="E45" s="1266">
        <v>9.8420699999999996E-4</v>
      </c>
      <c r="F45" s="1266">
        <v>1.1023109999999999E-3</v>
      </c>
      <c r="G45" s="1286">
        <v>2.2046236800000001</v>
      </c>
      <c r="H45" s="1223"/>
      <c r="I45" s="1223"/>
      <c r="J45" s="1223"/>
      <c r="K45" s="1223"/>
      <c r="L45" s="1223"/>
    </row>
    <row r="46" spans="1:12" ht="15.75" thickTop="1" thickBot="1">
      <c r="A46" s="1588"/>
      <c r="B46" s="1238" t="s">
        <v>1704</v>
      </c>
      <c r="C46" s="1268">
        <v>1000</v>
      </c>
      <c r="D46" s="1252"/>
      <c r="E46" s="1273">
        <v>0.98420699999999994</v>
      </c>
      <c r="F46" s="1273">
        <v>1.102311</v>
      </c>
      <c r="G46" s="1275">
        <v>2204.6236800000001</v>
      </c>
      <c r="H46" s="1223"/>
      <c r="I46" s="1223"/>
      <c r="J46" s="1223"/>
      <c r="K46" s="1223"/>
      <c r="L46" s="1223"/>
    </row>
    <row r="47" spans="1:12" ht="15.75" thickTop="1" thickBot="1">
      <c r="A47" s="1588"/>
      <c r="B47" s="1238" t="s">
        <v>1705</v>
      </c>
      <c r="C47" s="1287">
        <v>1016.0464211288886</v>
      </c>
      <c r="D47" s="1273">
        <v>1.0160464211288887</v>
      </c>
      <c r="E47" s="1252"/>
      <c r="F47" s="1273">
        <v>1.1199991465210062</v>
      </c>
      <c r="G47" s="1288">
        <v>2240</v>
      </c>
      <c r="H47" s="1223"/>
      <c r="I47" s="1223"/>
      <c r="J47" s="1223"/>
      <c r="K47" s="1223"/>
      <c r="L47" s="1223"/>
    </row>
    <row r="48" spans="1:12" ht="15.75" thickTop="1" thickBot="1">
      <c r="A48" s="1588"/>
      <c r="B48" s="1238" t="s">
        <v>1706</v>
      </c>
      <c r="C48" s="1289">
        <v>907.18499588591612</v>
      </c>
      <c r="D48" s="1273">
        <v>0.90718499588591617</v>
      </c>
      <c r="E48" s="1273">
        <v>0.8928578232458898</v>
      </c>
      <c r="F48" s="1252"/>
      <c r="G48" s="1288">
        <v>2000.0015240707933</v>
      </c>
      <c r="H48" s="1223"/>
      <c r="I48" s="1223"/>
      <c r="J48" s="1223"/>
      <c r="K48" s="1223"/>
      <c r="L48" s="1223"/>
    </row>
    <row r="49" spans="1:12" ht="15.75" thickTop="1" thickBot="1">
      <c r="A49" s="1589"/>
      <c r="B49" s="1238" t="s">
        <v>1707</v>
      </c>
      <c r="C49" s="1290">
        <v>0.45359215228968236</v>
      </c>
      <c r="D49" s="1291">
        <v>4.5359215228968239E-4</v>
      </c>
      <c r="E49" s="1291">
        <v>4.4642857142857141E-4</v>
      </c>
      <c r="F49" s="1281">
        <v>4.9999961898259206E-4</v>
      </c>
      <c r="G49" s="1264"/>
      <c r="H49" s="1223"/>
      <c r="I49" s="1223"/>
      <c r="J49" s="1223"/>
      <c r="K49" s="1223"/>
      <c r="L49" s="1223"/>
    </row>
    <row r="50" spans="1:12" ht="15" thickTop="1">
      <c r="A50" s="1223"/>
      <c r="B50" s="1223"/>
      <c r="C50" s="1223"/>
      <c r="D50" s="1223"/>
      <c r="E50" s="1223"/>
      <c r="F50" s="1223"/>
      <c r="G50" s="1223"/>
      <c r="H50" s="1223"/>
      <c r="I50" s="1223"/>
      <c r="J50" s="1223"/>
      <c r="K50" s="1223"/>
      <c r="L50" s="1223"/>
    </row>
    <row r="51" spans="1:12" ht="15" thickBot="1">
      <c r="A51" s="1223"/>
      <c r="B51" s="1223"/>
      <c r="C51" s="1223"/>
      <c r="D51" s="1223"/>
      <c r="E51" s="1223"/>
      <c r="F51" s="1223"/>
      <c r="G51" s="1223"/>
      <c r="H51" s="1223"/>
      <c r="I51" s="1223"/>
      <c r="J51" s="1223"/>
      <c r="K51" s="1223"/>
      <c r="L51" s="1223"/>
    </row>
    <row r="52" spans="1:12" ht="15.75" thickTop="1" thickBot="1">
      <c r="A52" s="1223"/>
      <c r="B52" s="1246"/>
      <c r="C52" s="1237" t="s">
        <v>3981</v>
      </c>
      <c r="D52" s="1237" t="s">
        <v>3982</v>
      </c>
      <c r="E52" s="1237" t="s">
        <v>1263</v>
      </c>
      <c r="F52" s="1237" t="s">
        <v>2188</v>
      </c>
      <c r="G52" s="1237" t="s">
        <v>3983</v>
      </c>
      <c r="H52" s="1223"/>
      <c r="I52" s="1223"/>
      <c r="J52" s="1223"/>
      <c r="K52" s="1223"/>
      <c r="L52" s="1223"/>
    </row>
    <row r="53" spans="1:12" ht="15.75" thickTop="1" thickBot="1">
      <c r="A53" s="1587" t="s">
        <v>3984</v>
      </c>
      <c r="B53" s="1238" t="s">
        <v>3985</v>
      </c>
      <c r="C53" s="1247"/>
      <c r="D53" s="1292">
        <v>3.2808398950000002</v>
      </c>
      <c r="E53" s="1293">
        <v>6.2137119223733392E-4</v>
      </c>
      <c r="F53" s="1294">
        <v>1E-3</v>
      </c>
      <c r="G53" s="1295">
        <v>5.3995680351745805E-4</v>
      </c>
      <c r="H53" s="1223"/>
      <c r="I53" s="1223"/>
      <c r="J53" s="1223"/>
      <c r="K53" s="1223"/>
      <c r="L53" s="1223"/>
    </row>
    <row r="54" spans="1:12" ht="15.75" thickTop="1" thickBot="1">
      <c r="A54" s="1588"/>
      <c r="B54" s="1238" t="s">
        <v>3986</v>
      </c>
      <c r="C54" s="1287">
        <v>0.30480000000121921</v>
      </c>
      <c r="D54" s="1252"/>
      <c r="E54" s="1269">
        <v>1.8939393939469695E-4</v>
      </c>
      <c r="F54" s="1279">
        <v>3.0480000000121922E-4</v>
      </c>
      <c r="G54" s="1296">
        <v>1.6457883371277953E-4</v>
      </c>
      <c r="H54" s="1223"/>
      <c r="I54" s="1223"/>
      <c r="J54" s="1223"/>
      <c r="K54" s="1223"/>
      <c r="L54" s="1223"/>
    </row>
    <row r="55" spans="1:12" ht="15.75" thickTop="1" thickBot="1">
      <c r="A55" s="1588"/>
      <c r="B55" s="1238" t="s">
        <v>3987</v>
      </c>
      <c r="C55" s="1289">
        <v>1609.3440000000001</v>
      </c>
      <c r="D55" s="1297">
        <v>5279.9999999788806</v>
      </c>
      <c r="E55" s="1252"/>
      <c r="F55" s="1298">
        <v>1.6093440000000001</v>
      </c>
      <c r="G55" s="1275">
        <v>0.86897624200000001</v>
      </c>
      <c r="H55" s="1223"/>
      <c r="I55" s="1223"/>
      <c r="J55" s="1223"/>
      <c r="K55" s="1223"/>
      <c r="L55" s="1223"/>
    </row>
    <row r="56" spans="1:12" ht="15.75" thickTop="1" thickBot="1">
      <c r="A56" s="1588"/>
      <c r="B56" s="1238" t="s">
        <v>3988</v>
      </c>
      <c r="C56" s="1268">
        <v>1000</v>
      </c>
      <c r="D56" s="1299">
        <v>3280.8398950000001</v>
      </c>
      <c r="E56" s="1273">
        <v>0.62137119223733395</v>
      </c>
      <c r="F56" s="1252"/>
      <c r="G56" s="1275">
        <v>0.53995680351745801</v>
      </c>
      <c r="H56" s="1223"/>
      <c r="I56" s="1223"/>
      <c r="J56" s="1223"/>
      <c r="K56" s="1223"/>
      <c r="L56" s="1223"/>
    </row>
    <row r="57" spans="1:12" ht="15.75" thickTop="1" thickBot="1">
      <c r="A57" s="1589"/>
      <c r="B57" s="1238" t="s">
        <v>3989</v>
      </c>
      <c r="C57" s="1300">
        <v>1851.9999997882567</v>
      </c>
      <c r="D57" s="1301">
        <v>6076.1154848453043</v>
      </c>
      <c r="E57" s="1281">
        <v>1.1507794478919713</v>
      </c>
      <c r="F57" s="1283">
        <v>1.8519999997882568</v>
      </c>
      <c r="G57" s="1264"/>
      <c r="H57" s="1223"/>
      <c r="I57" s="1223"/>
      <c r="J57" s="1223"/>
      <c r="K57" s="1223"/>
      <c r="L57" s="1223"/>
    </row>
    <row r="58" spans="1:12" ht="15" thickTop="1">
      <c r="A58" s="1223"/>
      <c r="B58" s="1223"/>
      <c r="C58" s="1223"/>
      <c r="D58" s="1223"/>
      <c r="E58" s="1223"/>
      <c r="F58" s="1223"/>
      <c r="G58" s="1223"/>
      <c r="H58" s="1223"/>
      <c r="I58" s="1223"/>
      <c r="J58" s="1223"/>
      <c r="K58" s="1223"/>
      <c r="L58" s="1223"/>
    </row>
    <row r="59" spans="1:12" ht="15" thickBot="1">
      <c r="A59" s="1223"/>
      <c r="B59" s="1223"/>
      <c r="C59" s="1302"/>
      <c r="D59" s="1302"/>
      <c r="E59" s="1302"/>
      <c r="F59" s="1302"/>
      <c r="G59" s="1302"/>
      <c r="H59" s="1223"/>
      <c r="I59" s="1223"/>
      <c r="J59" s="1223"/>
      <c r="K59" s="1223"/>
      <c r="L59" s="1223"/>
    </row>
    <row r="60" spans="1:12" ht="15.75" thickTop="1" thickBot="1">
      <c r="A60" s="1223"/>
      <c r="B60" s="1246"/>
      <c r="C60" s="1237" t="s">
        <v>3981</v>
      </c>
      <c r="D60" s="1237" t="s">
        <v>3982</v>
      </c>
      <c r="E60" s="1237" t="s">
        <v>3990</v>
      </c>
      <c r="F60" s="1237" t="s">
        <v>3991</v>
      </c>
      <c r="G60" s="1237" t="s">
        <v>3992</v>
      </c>
      <c r="H60" s="1223"/>
      <c r="I60" s="1223"/>
      <c r="J60" s="1223"/>
      <c r="K60" s="1223"/>
      <c r="L60" s="1223"/>
    </row>
    <row r="61" spans="1:12" ht="15.75" thickTop="1" thickBot="1">
      <c r="A61" s="1587" t="s">
        <v>3984</v>
      </c>
      <c r="B61" s="1238" t="s">
        <v>3985</v>
      </c>
      <c r="C61" s="1247"/>
      <c r="D61" s="1266">
        <v>3.2808398950000002</v>
      </c>
      <c r="E61" s="1266">
        <v>39.370078739999997</v>
      </c>
      <c r="F61" s="1303">
        <v>100</v>
      </c>
      <c r="G61" s="1286">
        <v>1.093613298</v>
      </c>
      <c r="H61" s="1223"/>
      <c r="I61" s="1223"/>
      <c r="J61" s="1223"/>
      <c r="K61" s="1223"/>
      <c r="L61" s="1223"/>
    </row>
    <row r="62" spans="1:12" ht="15.75" thickTop="1" thickBot="1">
      <c r="A62" s="1588"/>
      <c r="B62" s="1238" t="s">
        <v>3986</v>
      </c>
      <c r="C62" s="1287">
        <v>0.30480000000121921</v>
      </c>
      <c r="D62" s="1252"/>
      <c r="E62" s="1297">
        <v>12</v>
      </c>
      <c r="F62" s="1273">
        <v>30.480000000121919</v>
      </c>
      <c r="G62" s="1275">
        <v>0.33333333323173331</v>
      </c>
      <c r="H62" s="1223"/>
      <c r="I62" s="1223"/>
      <c r="J62" s="1223"/>
      <c r="K62" s="1223"/>
      <c r="L62" s="1223"/>
    </row>
    <row r="63" spans="1:12" ht="15.75" thickTop="1" thickBot="1">
      <c r="A63" s="1588"/>
      <c r="B63" s="1238" t="s">
        <v>3993</v>
      </c>
      <c r="C63" s="1287">
        <v>2.5400000000101602E-2</v>
      </c>
      <c r="D63" s="1273">
        <v>8.3333333333333343E-2</v>
      </c>
      <c r="E63" s="1252"/>
      <c r="F63" s="1273">
        <v>2.5400000000101604</v>
      </c>
      <c r="G63" s="1275">
        <v>2.7777777769311111E-2</v>
      </c>
      <c r="H63" s="1223"/>
      <c r="I63" s="1223"/>
      <c r="J63" s="1223"/>
      <c r="K63" s="1223"/>
      <c r="L63" s="1223"/>
    </row>
    <row r="64" spans="1:12" ht="15.75" thickTop="1" thickBot="1">
      <c r="A64" s="1588"/>
      <c r="B64" s="1238" t="s">
        <v>3994</v>
      </c>
      <c r="C64" s="1289">
        <v>0.01</v>
      </c>
      <c r="D64" s="1273">
        <v>3.2808398950000005E-2</v>
      </c>
      <c r="E64" s="1273">
        <v>0.39370078739999997</v>
      </c>
      <c r="F64" s="1252"/>
      <c r="G64" s="1275">
        <v>1.0936132979999999E-2</v>
      </c>
      <c r="H64" s="1223"/>
      <c r="I64" s="1223"/>
      <c r="J64" s="1223"/>
      <c r="K64" s="1223"/>
      <c r="L64" s="1223"/>
    </row>
    <row r="65" spans="1:12" ht="15.75" thickTop="1" thickBot="1">
      <c r="A65" s="1589"/>
      <c r="B65" s="1238" t="s">
        <v>3995</v>
      </c>
      <c r="C65" s="1290">
        <v>0.91440000028236679</v>
      </c>
      <c r="D65" s="1284">
        <v>3.0000000009144006</v>
      </c>
      <c r="E65" s="1284">
        <v>36.000000010972798</v>
      </c>
      <c r="F65" s="1281">
        <v>91.440000028236682</v>
      </c>
      <c r="G65" s="1264"/>
      <c r="H65" s="1223"/>
      <c r="I65" s="1223"/>
      <c r="J65" s="1223"/>
      <c r="K65" s="1223"/>
      <c r="L65" s="1223"/>
    </row>
    <row r="66" spans="1:12" ht="15" thickTop="1"/>
    <row r="73" spans="1:12">
      <c r="B73" s="30" t="s">
        <v>4067</v>
      </c>
      <c r="C73" s="30">
        <v>3.5168528421</v>
      </c>
      <c r="D73" s="30" t="s">
        <v>1719</v>
      </c>
    </row>
  </sheetData>
  <sheetProtection algorithmName="SHA-512" hashValue="c7zme20XCqPhb5lDMs2xKir2XsMMbLn4+LPbhtG8DxLspoUSWve9QUhCqFVCz176I1PLlBzjOxi0p3+F3ppw4Q==" saltValue="zLqIMUf9k+sOd25sawacEQ==" spinCount="100000" sheet="1" objects="1" scenarios="1" selectLockedCells="1" selectUnlockedCells="1"/>
  <mergeCells count="11">
    <mergeCell ref="A20:A24"/>
    <mergeCell ref="A8:L8"/>
    <mergeCell ref="A10:L10"/>
    <mergeCell ref="A13:L13"/>
    <mergeCell ref="A14:L14"/>
    <mergeCell ref="A15:L15"/>
    <mergeCell ref="A28:A32"/>
    <mergeCell ref="A36:A41"/>
    <mergeCell ref="A45:A49"/>
    <mergeCell ref="A53:A57"/>
    <mergeCell ref="A61:A65"/>
  </mergeCells>
  <hyperlinks>
    <hyperlink ref="A3" location="Index!A1" display="Index" xr:uid="{E181FDD9-7511-49A3-9A9A-3CEE6A259B2A}"/>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B7044-55DB-4D7B-8EC1-83F5943E4983}">
  <sheetPr codeName="Sheet1"/>
  <dimension ref="B1:J115"/>
  <sheetViews>
    <sheetView topLeftCell="A40" zoomScale="90" zoomScaleNormal="90" workbookViewId="0">
      <selection activeCell="E41" sqref="E41"/>
    </sheetView>
  </sheetViews>
  <sheetFormatPr defaultRowHeight="14.25"/>
  <cols>
    <col min="2" max="2" width="34" style="246" bestFit="1" customWidth="1"/>
    <col min="3" max="3" width="33.75" style="246" bestFit="1" customWidth="1"/>
    <col min="4" max="4" width="34" style="246" bestFit="1" customWidth="1"/>
    <col min="5" max="5" width="19.125" style="246" bestFit="1" customWidth="1"/>
    <col min="6" max="6" width="82.625" bestFit="1" customWidth="1"/>
    <col min="7" max="7" width="11.125" style="7" customWidth="1"/>
    <col min="8" max="8" width="12.125" style="222" bestFit="1" customWidth="1"/>
  </cols>
  <sheetData>
    <row r="1" spans="5:10" hidden="1">
      <c r="I1" s="286" t="s">
        <v>3002</v>
      </c>
    </row>
    <row r="2" spans="5:10" hidden="1">
      <c r="H2" s="222" t="s">
        <v>2999</v>
      </c>
      <c r="J2" t="s">
        <v>3000</v>
      </c>
    </row>
    <row r="3" spans="5:10" ht="15.75" hidden="1" thickTop="1" thickBot="1">
      <c r="E3" s="759" t="s">
        <v>2938</v>
      </c>
      <c r="F3" s="739" t="s">
        <v>2939</v>
      </c>
      <c r="G3" s="745" t="s">
        <v>2997</v>
      </c>
      <c r="H3" s="754" t="s">
        <v>2998</v>
      </c>
      <c r="J3" t="s">
        <v>3001</v>
      </c>
    </row>
    <row r="4" spans="5:10" ht="26.25" hidden="1" thickBot="1">
      <c r="E4" s="760" t="s">
        <v>2940</v>
      </c>
      <c r="F4" s="740" t="s">
        <v>2941</v>
      </c>
      <c r="G4" s="746" t="s">
        <v>2996</v>
      </c>
      <c r="H4" s="755" t="s">
        <v>2996</v>
      </c>
    </row>
    <row r="5" spans="5:10" ht="15" hidden="1" thickBot="1">
      <c r="E5" s="760" t="s">
        <v>2942</v>
      </c>
      <c r="F5" s="741" t="s">
        <v>2943</v>
      </c>
      <c r="G5" s="747">
        <v>5.3109999999999998E-5</v>
      </c>
      <c r="H5" s="756">
        <f>+'Scope 1 and 2 Data'!$G$30/1000000</f>
        <v>26.096406337800001</v>
      </c>
    </row>
    <row r="6" spans="5:10" ht="15" hidden="1" thickBot="1">
      <c r="E6" s="760" t="s">
        <v>2944</v>
      </c>
      <c r="F6" s="742" t="s">
        <v>2945</v>
      </c>
      <c r="G6" s="747">
        <v>5.3109999999999998E-5</v>
      </c>
      <c r="H6" s="756">
        <f>+'Scope 1 and 2 Data'!$G$30/1000000</f>
        <v>26.096406337800001</v>
      </c>
    </row>
    <row r="7" spans="5:10" ht="15" hidden="1" thickBot="1">
      <c r="E7" s="760" t="s">
        <v>2946</v>
      </c>
      <c r="F7" s="743" t="s">
        <v>2947</v>
      </c>
      <c r="G7" s="747">
        <v>5.3109999999999998E-5</v>
      </c>
      <c r="H7" s="756">
        <f>+'Scope 1 and 2 Data'!$G$30/1000000</f>
        <v>26.096406337800001</v>
      </c>
    </row>
    <row r="8" spans="5:10" ht="15" hidden="1" thickBot="1">
      <c r="E8" s="760" t="s">
        <v>2948</v>
      </c>
      <c r="F8" s="741" t="s">
        <v>2949</v>
      </c>
      <c r="G8" s="747">
        <v>7.4209999999999996E-5</v>
      </c>
      <c r="H8" s="757">
        <f>+'Scope 1 and 2 Data'!$G$31/138.5/1000/1000</f>
        <v>0</v>
      </c>
    </row>
    <row r="9" spans="5:10" ht="15" hidden="1" thickBot="1">
      <c r="E9" s="760" t="s">
        <v>2950</v>
      </c>
      <c r="F9" s="742" t="s">
        <v>2951</v>
      </c>
      <c r="G9" s="747">
        <v>7.4209999999999996E-5</v>
      </c>
      <c r="H9" s="757">
        <f>+'Scope 1 and 2 Data'!$G$31/138.5/1000/1000</f>
        <v>0</v>
      </c>
    </row>
    <row r="10" spans="5:10" ht="15" hidden="1" thickBot="1">
      <c r="E10" s="760" t="s">
        <v>2952</v>
      </c>
      <c r="F10" s="743" t="s">
        <v>2953</v>
      </c>
      <c r="G10" s="747">
        <v>7.4209999999999996E-5</v>
      </c>
      <c r="H10" s="757">
        <f>+'Scope 1 and 2 Data'!$G$31/138.5/1000/1000</f>
        <v>0</v>
      </c>
    </row>
    <row r="11" spans="5:10" ht="15" hidden="1" thickBot="1">
      <c r="E11" s="760" t="s">
        <v>2954</v>
      </c>
      <c r="F11" s="741" t="s">
        <v>2955</v>
      </c>
      <c r="G11" s="747">
        <v>6.6400000000000001E-5</v>
      </c>
      <c r="H11" s="756"/>
    </row>
    <row r="12" spans="5:10" ht="15" hidden="1" thickBot="1">
      <c r="E12" s="760" t="s">
        <v>2956</v>
      </c>
      <c r="F12" s="742" t="s">
        <v>2957</v>
      </c>
      <c r="G12" s="747">
        <v>6.6400000000000001E-5</v>
      </c>
      <c r="H12" s="756"/>
    </row>
    <row r="13" spans="5:10" ht="15" hidden="1" thickBot="1">
      <c r="E13" s="760" t="s">
        <v>2958</v>
      </c>
      <c r="F13" s="743" t="s">
        <v>2959</v>
      </c>
      <c r="G13" s="747">
        <v>6.6400000000000001E-5</v>
      </c>
      <c r="H13" s="756"/>
    </row>
    <row r="14" spans="5:10" ht="15" hidden="1" thickBot="1">
      <c r="E14" s="760" t="s">
        <v>2960</v>
      </c>
      <c r="F14" s="741" t="s">
        <v>2961</v>
      </c>
      <c r="G14" s="747">
        <v>6.6400000000000001E-5</v>
      </c>
      <c r="H14" s="756"/>
    </row>
    <row r="15" spans="5:10" ht="15" hidden="1" thickBot="1">
      <c r="E15" s="760" t="s">
        <v>2962</v>
      </c>
      <c r="F15" s="742" t="s">
        <v>2963</v>
      </c>
      <c r="G15" s="747">
        <v>6.6400000000000001E-5</v>
      </c>
      <c r="H15" s="756"/>
    </row>
    <row r="16" spans="5:10" ht="15" hidden="1" thickBot="1">
      <c r="E16" s="760" t="s">
        <v>2964</v>
      </c>
      <c r="F16" s="743" t="s">
        <v>2965</v>
      </c>
      <c r="G16" s="747">
        <v>6.6400000000000001E-5</v>
      </c>
      <c r="H16" s="756"/>
    </row>
    <row r="17" spans="5:8" ht="15" hidden="1" thickBot="1">
      <c r="E17" s="760" t="s">
        <v>2966</v>
      </c>
      <c r="F17" s="741" t="s">
        <v>2967</v>
      </c>
      <c r="G17" s="747">
        <v>5.27E-5</v>
      </c>
      <c r="H17" s="756"/>
    </row>
    <row r="18" spans="5:8" ht="15" hidden="1" thickBot="1">
      <c r="E18" s="760" t="s">
        <v>2968</v>
      </c>
      <c r="F18" s="742" t="s">
        <v>2969</v>
      </c>
      <c r="G18" s="747">
        <v>5.27E-5</v>
      </c>
      <c r="H18" s="756"/>
    </row>
    <row r="19" spans="5:8" ht="15" hidden="1" thickBot="1">
      <c r="E19" s="760" t="s">
        <v>2970</v>
      </c>
      <c r="F19" s="743" t="s">
        <v>2971</v>
      </c>
      <c r="G19" s="747">
        <v>5.27E-5</v>
      </c>
      <c r="H19" s="756"/>
    </row>
    <row r="20" spans="5:8" ht="15" hidden="1" thickBot="1">
      <c r="E20" s="760" t="s">
        <v>2972</v>
      </c>
      <c r="F20" s="741" t="s">
        <v>2973</v>
      </c>
      <c r="G20" s="747">
        <v>7.3889999999999999E-5</v>
      </c>
      <c r="H20" s="756"/>
    </row>
    <row r="21" spans="5:8" ht="15" hidden="1" thickBot="1">
      <c r="E21" s="760" t="s">
        <v>2974</v>
      </c>
      <c r="F21" s="742" t="s">
        <v>2975</v>
      </c>
      <c r="G21" s="747">
        <v>7.3889999999999999E-5</v>
      </c>
      <c r="H21" s="756"/>
    </row>
    <row r="22" spans="5:8" ht="15" hidden="1" thickBot="1">
      <c r="E22" s="760" t="s">
        <v>2976</v>
      </c>
      <c r="F22" s="743" t="s">
        <v>2977</v>
      </c>
      <c r="G22" s="747">
        <v>7.3889999999999999E-5</v>
      </c>
      <c r="H22" s="756"/>
    </row>
    <row r="23" spans="5:8" ht="15" hidden="1" thickBot="1">
      <c r="E23" s="760" t="s">
        <v>2978</v>
      </c>
      <c r="F23" s="741" t="s">
        <v>2979</v>
      </c>
      <c r="G23" s="747">
        <v>4.9310000000000001E-5</v>
      </c>
      <c r="H23" s="756"/>
    </row>
    <row r="24" spans="5:8" ht="15" hidden="1" thickBot="1">
      <c r="E24" s="760" t="s">
        <v>2980</v>
      </c>
      <c r="F24" s="742" t="s">
        <v>2981</v>
      </c>
      <c r="G24" s="747">
        <v>4.9310000000000001E-5</v>
      </c>
      <c r="H24" s="756"/>
    </row>
    <row r="25" spans="5:8" ht="15" hidden="1" thickBot="1">
      <c r="E25" s="760" t="s">
        <v>2982</v>
      </c>
      <c r="F25" s="743" t="s">
        <v>2983</v>
      </c>
      <c r="G25" s="747">
        <v>4.9310000000000001E-5</v>
      </c>
      <c r="H25" s="756"/>
    </row>
    <row r="26" spans="5:8" ht="15" hidden="1" thickBot="1">
      <c r="E26" s="760" t="s">
        <v>2984</v>
      </c>
      <c r="F26" s="741" t="s">
        <v>2985</v>
      </c>
      <c r="G26" s="747">
        <v>7.4209999999999996E-5</v>
      </c>
      <c r="H26" s="756"/>
    </row>
    <row r="27" spans="5:8" ht="15" hidden="1" thickBot="1">
      <c r="E27" s="760" t="s">
        <v>2986</v>
      </c>
      <c r="F27" s="742" t="s">
        <v>2987</v>
      </c>
      <c r="G27" s="747">
        <v>7.4209999999999996E-5</v>
      </c>
      <c r="H27" s="756"/>
    </row>
    <row r="28" spans="5:8" ht="15" hidden="1" thickBot="1">
      <c r="E28" s="760" t="s">
        <v>2988</v>
      </c>
      <c r="F28" s="743" t="s">
        <v>2989</v>
      </c>
      <c r="G28" s="747">
        <v>7.4209999999999996E-5</v>
      </c>
      <c r="H28" s="756"/>
    </row>
    <row r="29" spans="5:8" ht="15" hidden="1" thickBot="1">
      <c r="E29" s="760" t="s">
        <v>2990</v>
      </c>
      <c r="F29" s="741" t="s">
        <v>2991</v>
      </c>
      <c r="G29" s="747">
        <v>6.4250000000000003E-5</v>
      </c>
      <c r="H29" s="756"/>
    </row>
    <row r="30" spans="5:8" ht="15" hidden="1" thickBot="1">
      <c r="E30" s="760" t="s">
        <v>2992</v>
      </c>
      <c r="F30" s="742" t="s">
        <v>2993</v>
      </c>
      <c r="G30" s="747">
        <v>6.4250000000000003E-5</v>
      </c>
      <c r="H30" s="756"/>
    </row>
    <row r="31" spans="5:8" ht="15" hidden="1" thickBot="1">
      <c r="E31" s="761" t="s">
        <v>2994</v>
      </c>
      <c r="F31" s="744" t="s">
        <v>2995</v>
      </c>
      <c r="G31" s="748">
        <v>6.4250000000000003E-5</v>
      </c>
      <c r="H31" s="758"/>
    </row>
    <row r="32" spans="5:8" hidden="1"/>
    <row r="33" spans="2:7" hidden="1"/>
    <row r="34" spans="2:7" hidden="1"/>
    <row r="35" spans="2:7" hidden="1"/>
    <row r="36" spans="2:7" hidden="1"/>
    <row r="37" spans="2:7" hidden="1"/>
    <row r="38" spans="2:7" hidden="1"/>
    <row r="39" spans="2:7" hidden="1"/>
    <row r="40" spans="2:7" ht="15.75">
      <c r="C40" s="7" t="s">
        <v>3044</v>
      </c>
      <c r="D40" s="762" t="s">
        <v>3043</v>
      </c>
      <c r="E40" s="246">
        <f>+Instructions!C6</f>
        <v>0</v>
      </c>
    </row>
    <row r="41" spans="2:7">
      <c r="C41" s="7" t="s">
        <v>3075</v>
      </c>
      <c r="E41" s="246">
        <v>2024</v>
      </c>
    </row>
    <row r="43" spans="2:7" ht="15">
      <c r="B43" s="290" t="s">
        <v>3040</v>
      </c>
      <c r="C43" s="290" t="s">
        <v>3041</v>
      </c>
      <c r="D43" s="290" t="s">
        <v>3042</v>
      </c>
      <c r="E43" s="290" t="s">
        <v>3034</v>
      </c>
      <c r="F43" s="290" t="s">
        <v>1740</v>
      </c>
      <c r="G43" s="290" t="s">
        <v>3003</v>
      </c>
    </row>
    <row r="44" spans="2:7">
      <c r="B44" s="752" t="s">
        <v>3076</v>
      </c>
      <c r="C44" s="752" t="s">
        <v>3077</v>
      </c>
      <c r="D44" s="752" t="s">
        <v>3078</v>
      </c>
      <c r="E44" s="7" t="s">
        <v>2208</v>
      </c>
      <c r="F44" s="752" t="s">
        <v>3070</v>
      </c>
      <c r="G44" s="753">
        <f>+'Results &amp; Summary'!E26</f>
        <v>4645.4736823110006</v>
      </c>
    </row>
    <row r="45" spans="2:7">
      <c r="B45" s="752" t="s">
        <v>3079</v>
      </c>
      <c r="C45" s="752" t="s">
        <v>3080</v>
      </c>
      <c r="D45" s="752" t="s">
        <v>3081</v>
      </c>
      <c r="E45" s="7" t="s">
        <v>2208</v>
      </c>
      <c r="F45" s="752" t="s">
        <v>3028</v>
      </c>
      <c r="G45" s="753">
        <f>+'Results &amp; Summary'!E27+'Results &amp; Summary'!E32</f>
        <v>0</v>
      </c>
    </row>
    <row r="46" spans="2:7">
      <c r="B46" s="752" t="s">
        <v>3082</v>
      </c>
      <c r="C46" s="752" t="s">
        <v>3083</v>
      </c>
      <c r="D46" s="752" t="s">
        <v>3084</v>
      </c>
      <c r="E46" s="7" t="s">
        <v>2208</v>
      </c>
      <c r="F46" s="752" t="s">
        <v>3029</v>
      </c>
      <c r="G46" s="753">
        <f>+'Results &amp; Summary'!E38+'Results &amp; Summary'!E34</f>
        <v>0</v>
      </c>
    </row>
    <row r="47" spans="2:7">
      <c r="B47" s="752" t="s">
        <v>3085</v>
      </c>
      <c r="C47" s="752" t="s">
        <v>3086</v>
      </c>
      <c r="D47" s="752" t="s">
        <v>3087</v>
      </c>
      <c r="E47" s="7" t="s">
        <v>2208</v>
      </c>
      <c r="F47" s="752" t="s">
        <v>3022</v>
      </c>
      <c r="G47" s="753">
        <f>+'Results &amp; Summary'!E24</f>
        <v>0</v>
      </c>
    </row>
    <row r="48" spans="2:7">
      <c r="B48" s="752" t="s">
        <v>3088</v>
      </c>
      <c r="C48" s="752" t="s">
        <v>3089</v>
      </c>
      <c r="D48" s="752" t="s">
        <v>3090</v>
      </c>
      <c r="E48" s="7" t="s">
        <v>2208</v>
      </c>
      <c r="F48" s="752" t="s">
        <v>3023</v>
      </c>
      <c r="G48" s="753">
        <f>+'Results &amp; Summary'!E25</f>
        <v>0</v>
      </c>
    </row>
    <row r="49" spans="2:8">
      <c r="B49" s="752" t="s">
        <v>3091</v>
      </c>
      <c r="C49" s="752" t="s">
        <v>3092</v>
      </c>
      <c r="D49" s="752" t="s">
        <v>3093</v>
      </c>
      <c r="E49" s="7" t="s">
        <v>2208</v>
      </c>
      <c r="F49" s="752" t="s">
        <v>3024</v>
      </c>
      <c r="G49" s="753">
        <f>+'Results &amp; Summary'!E28</f>
        <v>0</v>
      </c>
    </row>
    <row r="50" spans="2:8">
      <c r="B50" s="752" t="s">
        <v>3094</v>
      </c>
      <c r="C50" s="752" t="s">
        <v>3095</v>
      </c>
      <c r="D50" s="752" t="s">
        <v>3096</v>
      </c>
      <c r="E50" s="7" t="s">
        <v>2208</v>
      </c>
      <c r="F50" s="752" t="s">
        <v>3025</v>
      </c>
      <c r="G50" s="753">
        <f>+'Results &amp; Summary'!E29</f>
        <v>0</v>
      </c>
    </row>
    <row r="51" spans="2:8">
      <c r="B51" s="752" t="s">
        <v>3097</v>
      </c>
      <c r="C51" s="752" t="s">
        <v>3098</v>
      </c>
      <c r="D51" s="752" t="s">
        <v>3099</v>
      </c>
      <c r="E51" s="7" t="s">
        <v>2208</v>
      </c>
      <c r="F51" s="752" t="s">
        <v>3026</v>
      </c>
      <c r="G51" s="753">
        <f>+'Results &amp; Summary'!E30</f>
        <v>0</v>
      </c>
    </row>
    <row r="52" spans="2:8">
      <c r="B52" s="752" t="s">
        <v>3100</v>
      </c>
      <c r="C52" s="752" t="s">
        <v>3101</v>
      </c>
      <c r="D52" s="752" t="s">
        <v>3102</v>
      </c>
      <c r="E52" s="7" t="s">
        <v>2208</v>
      </c>
      <c r="F52" s="752" t="s">
        <v>3027</v>
      </c>
      <c r="G52" s="753">
        <f>+'Results &amp; Summary'!E31+'Results &amp; Summary'!E36</f>
        <v>0</v>
      </c>
    </row>
    <row r="53" spans="2:8">
      <c r="B53" s="752" t="s">
        <v>3103</v>
      </c>
      <c r="C53" s="752" t="s">
        <v>3104</v>
      </c>
      <c r="D53" s="752" t="s">
        <v>3105</v>
      </c>
      <c r="E53" s="7" t="s">
        <v>2208</v>
      </c>
      <c r="F53" s="752" t="s">
        <v>3013</v>
      </c>
      <c r="G53" s="753">
        <f>+'Results &amp; Summary'!E11</f>
        <v>0</v>
      </c>
    </row>
    <row r="54" spans="2:8">
      <c r="B54" s="752" t="s">
        <v>3106</v>
      </c>
      <c r="C54" s="752" t="s">
        <v>3107</v>
      </c>
      <c r="D54" s="752" t="s">
        <v>3108</v>
      </c>
      <c r="E54" s="7" t="s">
        <v>2208</v>
      </c>
      <c r="F54" s="752" t="s">
        <v>3032</v>
      </c>
      <c r="G54" s="753">
        <f>+'Results &amp; Summary'!E11</f>
        <v>0</v>
      </c>
    </row>
    <row r="55" spans="2:8">
      <c r="B55" s="752" t="s">
        <v>3109</v>
      </c>
      <c r="C55" s="752" t="s">
        <v>3110</v>
      </c>
      <c r="D55" s="752" t="s">
        <v>3111</v>
      </c>
      <c r="E55" s="7" t="s">
        <v>2208</v>
      </c>
      <c r="F55" s="752" t="s">
        <v>3033</v>
      </c>
      <c r="G55" s="753">
        <f>+'Results &amp; Summary'!E12</f>
        <v>0</v>
      </c>
    </row>
    <row r="56" spans="2:8">
      <c r="B56" s="752" t="s">
        <v>3112</v>
      </c>
      <c r="C56" s="752" t="s">
        <v>3113</v>
      </c>
      <c r="D56" s="752" t="s">
        <v>3114</v>
      </c>
      <c r="E56" s="7" t="s">
        <v>2208</v>
      </c>
      <c r="F56" s="752" t="s">
        <v>3030</v>
      </c>
      <c r="G56" s="753">
        <f>+'Results &amp; Summary'!D8</f>
        <v>0</v>
      </c>
    </row>
    <row r="57" spans="2:8">
      <c r="B57" s="752" t="s">
        <v>3115</v>
      </c>
      <c r="C57" s="752" t="s">
        <v>3116</v>
      </c>
      <c r="D57" s="752" t="s">
        <v>3117</v>
      </c>
      <c r="E57" s="7" t="s">
        <v>2208</v>
      </c>
      <c r="F57" s="752" t="s">
        <v>3031</v>
      </c>
      <c r="G57" s="753">
        <f>+'Results &amp; Summary'!E9</f>
        <v>0</v>
      </c>
    </row>
    <row r="58" spans="2:8">
      <c r="B58" s="752" t="s">
        <v>3118</v>
      </c>
      <c r="C58" s="752" t="s">
        <v>3119</v>
      </c>
      <c r="D58" s="752" t="s">
        <v>3120</v>
      </c>
      <c r="E58" s="7" t="s">
        <v>2208</v>
      </c>
      <c r="F58" s="752" t="s">
        <v>3018</v>
      </c>
      <c r="G58" s="753" t="e">
        <f>IF('Scope 1 and 2 Data'!F248&gt;0, 'Scope 1 and 2 Data'!F248, 'Scope 1 and 2 Data'!F249)/1000</f>
        <v>#VALUE!</v>
      </c>
      <c r="H58" s="222" t="s">
        <v>3281</v>
      </c>
    </row>
    <row r="59" spans="2:8">
      <c r="B59" s="752" t="s">
        <v>3121</v>
      </c>
      <c r="C59" s="752" t="s">
        <v>3122</v>
      </c>
      <c r="D59" s="752" t="s">
        <v>3123</v>
      </c>
      <c r="E59" s="7" t="s">
        <v>2208</v>
      </c>
      <c r="F59" s="752" t="s">
        <v>3019</v>
      </c>
      <c r="G59" s="753">
        <f>'Scope 1 and 2 Data'!E263</f>
        <v>0</v>
      </c>
    </row>
    <row r="60" spans="2:8">
      <c r="B60" s="752" t="s">
        <v>3124</v>
      </c>
      <c r="C60" s="752" t="s">
        <v>3125</v>
      </c>
      <c r="D60" s="752" t="s">
        <v>3126</v>
      </c>
      <c r="E60" s="7" t="s">
        <v>2208</v>
      </c>
      <c r="F60" s="752" t="s">
        <v>3058</v>
      </c>
      <c r="G60" s="753">
        <f>+'Scope 3 Summary'!E22</f>
        <v>4645.4736823110006</v>
      </c>
    </row>
    <row r="61" spans="2:8">
      <c r="B61" s="752" t="s">
        <v>3218</v>
      </c>
      <c r="C61" s="752" t="s">
        <v>3219</v>
      </c>
      <c r="D61" s="752" t="s">
        <v>3220</v>
      </c>
      <c r="E61" s="7" t="s">
        <v>3035</v>
      </c>
      <c r="F61" s="752" t="s">
        <v>3048</v>
      </c>
      <c r="G61" s="753">
        <f>+'Results &amp; Summary'!E26</f>
        <v>4645.4736823110006</v>
      </c>
    </row>
    <row r="62" spans="2:8">
      <c r="B62" s="752" t="s">
        <v>3127</v>
      </c>
      <c r="C62" s="752" t="s">
        <v>3128</v>
      </c>
      <c r="D62" s="752" t="s">
        <v>3129</v>
      </c>
      <c r="E62" s="7" t="s">
        <v>2208</v>
      </c>
      <c r="F62" s="752" t="s">
        <v>3059</v>
      </c>
      <c r="G62" s="753">
        <f>+'Scope 3 Summary'!E23</f>
        <v>0</v>
      </c>
    </row>
    <row r="63" spans="2:8">
      <c r="B63" s="752" t="s">
        <v>3221</v>
      </c>
      <c r="C63" s="752" t="s">
        <v>3222</v>
      </c>
      <c r="D63" s="752" t="s">
        <v>3223</v>
      </c>
      <c r="E63" s="7" t="s">
        <v>3035</v>
      </c>
      <c r="F63" s="752" t="s">
        <v>3049</v>
      </c>
      <c r="G63" s="753">
        <f>+'Results &amp; Summary'!E27</f>
        <v>0</v>
      </c>
    </row>
    <row r="64" spans="2:8">
      <c r="B64" s="752" t="s">
        <v>3130</v>
      </c>
      <c r="C64" s="752" t="s">
        <v>3131</v>
      </c>
      <c r="D64" s="752" t="s">
        <v>3132</v>
      </c>
      <c r="E64" s="7" t="s">
        <v>2208</v>
      </c>
      <c r="F64" s="752" t="s">
        <v>3060</v>
      </c>
      <c r="G64" s="753">
        <f>+'Scope 3 Summary'!E24</f>
        <v>0</v>
      </c>
    </row>
    <row r="65" spans="2:7">
      <c r="B65" s="752" t="s">
        <v>3224</v>
      </c>
      <c r="C65" s="752" t="s">
        <v>3225</v>
      </c>
      <c r="D65" s="752" t="s">
        <v>3226</v>
      </c>
      <c r="E65" s="7" t="s">
        <v>3035</v>
      </c>
      <c r="F65" s="752" t="s">
        <v>3050</v>
      </c>
      <c r="G65" s="753">
        <f>+'Results &amp; Summary'!E28</f>
        <v>0</v>
      </c>
    </row>
    <row r="66" spans="2:7">
      <c r="B66" s="752" t="s">
        <v>3133</v>
      </c>
      <c r="C66" s="752" t="s">
        <v>3134</v>
      </c>
      <c r="D66" s="752" t="s">
        <v>3135</v>
      </c>
      <c r="E66" s="7" t="s">
        <v>2208</v>
      </c>
      <c r="F66" s="752" t="s">
        <v>3061</v>
      </c>
      <c r="G66" s="753">
        <f>+'Scope 3 Summary'!E25</f>
        <v>0</v>
      </c>
    </row>
    <row r="67" spans="2:7">
      <c r="B67" s="752" t="s">
        <v>3227</v>
      </c>
      <c r="C67" s="752" t="s">
        <v>3228</v>
      </c>
      <c r="D67" s="752" t="s">
        <v>3229</v>
      </c>
      <c r="E67" s="7" t="s">
        <v>3035</v>
      </c>
      <c r="F67" s="752" t="s">
        <v>3051</v>
      </c>
      <c r="G67" s="753">
        <f>+'Results &amp; Summary'!E29</f>
        <v>0</v>
      </c>
    </row>
    <row r="68" spans="2:7">
      <c r="B68" s="752" t="s">
        <v>3136</v>
      </c>
      <c r="C68" s="752" t="s">
        <v>3137</v>
      </c>
      <c r="D68" s="752" t="s">
        <v>3138</v>
      </c>
      <c r="E68" s="7" t="s">
        <v>2208</v>
      </c>
      <c r="F68" s="752" t="s">
        <v>3062</v>
      </c>
      <c r="G68" s="753">
        <f>+'Scope 3 Summary'!E20</f>
        <v>0</v>
      </c>
    </row>
    <row r="69" spans="2:7">
      <c r="B69" s="752" t="s">
        <v>3230</v>
      </c>
      <c r="C69" s="752" t="s">
        <v>3231</v>
      </c>
      <c r="D69" s="752" t="s">
        <v>3232</v>
      </c>
      <c r="E69" s="7" t="s">
        <v>3035</v>
      </c>
      <c r="F69" s="752" t="s">
        <v>3046</v>
      </c>
      <c r="G69" s="753">
        <f>+'Results &amp; Summary'!E24</f>
        <v>0</v>
      </c>
    </row>
    <row r="70" spans="2:7">
      <c r="B70" s="752" t="s">
        <v>3139</v>
      </c>
      <c r="C70" s="752" t="s">
        <v>3140</v>
      </c>
      <c r="D70" s="752" t="s">
        <v>3141</v>
      </c>
      <c r="E70" s="7" t="s">
        <v>2208</v>
      </c>
      <c r="F70" s="752" t="s">
        <v>3063</v>
      </c>
      <c r="G70" s="753">
        <f>+'Scope 3 Summary'!E26</f>
        <v>0</v>
      </c>
    </row>
    <row r="71" spans="2:7">
      <c r="B71" s="752" t="s">
        <v>3233</v>
      </c>
      <c r="C71" s="752" t="s">
        <v>3234</v>
      </c>
      <c r="D71" s="752" t="s">
        <v>3235</v>
      </c>
      <c r="E71" s="7" t="s">
        <v>3035</v>
      </c>
      <c r="F71" s="752" t="s">
        <v>3052</v>
      </c>
      <c r="G71" s="753">
        <f>+'Results &amp; Summary'!E30</f>
        <v>0</v>
      </c>
    </row>
    <row r="72" spans="2:7">
      <c r="B72" s="752" t="s">
        <v>3142</v>
      </c>
      <c r="C72" s="752" t="s">
        <v>3143</v>
      </c>
      <c r="D72" s="752" t="s">
        <v>3144</v>
      </c>
      <c r="E72" s="7" t="s">
        <v>2208</v>
      </c>
      <c r="F72" s="752" t="s">
        <v>3064</v>
      </c>
      <c r="G72" s="753">
        <f>+'Scope 3 Summary'!E27</f>
        <v>0</v>
      </c>
    </row>
    <row r="73" spans="2:7">
      <c r="B73" s="752" t="s">
        <v>3236</v>
      </c>
      <c r="C73" s="752" t="s">
        <v>3237</v>
      </c>
      <c r="D73" s="752" t="s">
        <v>3238</v>
      </c>
      <c r="E73" s="7" t="s">
        <v>3035</v>
      </c>
      <c r="F73" s="752" t="s">
        <v>3053</v>
      </c>
      <c r="G73" s="753">
        <f>+'Results &amp; Summary'!E31</f>
        <v>0</v>
      </c>
    </row>
    <row r="74" spans="2:7">
      <c r="B74" s="752" t="s">
        <v>3145</v>
      </c>
      <c r="C74" s="752" t="s">
        <v>3146</v>
      </c>
      <c r="D74" s="752" t="s">
        <v>3147</v>
      </c>
      <c r="E74" s="7" t="s">
        <v>2208</v>
      </c>
      <c r="F74" s="752" t="s">
        <v>3066</v>
      </c>
      <c r="G74" s="753">
        <f>+'Scope 3 Summary'!E30</f>
        <v>0</v>
      </c>
    </row>
    <row r="75" spans="2:7">
      <c r="B75" s="752" t="s">
        <v>3239</v>
      </c>
      <c r="C75" s="752" t="s">
        <v>3240</v>
      </c>
      <c r="D75" s="752" t="s">
        <v>3241</v>
      </c>
      <c r="E75" s="7" t="s">
        <v>3035</v>
      </c>
      <c r="F75" s="752" t="s">
        <v>3055</v>
      </c>
      <c r="G75" s="753">
        <f>+'Results &amp; Summary'!E34</f>
        <v>0</v>
      </c>
    </row>
    <row r="76" spans="2:7">
      <c r="B76" s="752" t="s">
        <v>3148</v>
      </c>
      <c r="C76" s="752" t="s">
        <v>3149</v>
      </c>
      <c r="D76" s="752" t="s">
        <v>3150</v>
      </c>
      <c r="E76" s="7" t="s">
        <v>2208</v>
      </c>
      <c r="F76" s="752" t="s">
        <v>3065</v>
      </c>
      <c r="G76" s="753">
        <f>+'Scope 3 Summary'!E32</f>
        <v>0</v>
      </c>
    </row>
    <row r="77" spans="2:7">
      <c r="B77" s="752" t="s">
        <v>3242</v>
      </c>
      <c r="C77" s="752" t="s">
        <v>3243</v>
      </c>
      <c r="D77" s="752" t="s">
        <v>3244</v>
      </c>
      <c r="E77" s="7" t="s">
        <v>3035</v>
      </c>
      <c r="F77" s="752" t="s">
        <v>3056</v>
      </c>
      <c r="G77" s="753">
        <f>+'Results &amp; Summary'!E36</f>
        <v>0</v>
      </c>
    </row>
    <row r="78" spans="2:7">
      <c r="B78" s="752" t="s">
        <v>3151</v>
      </c>
      <c r="C78" s="752" t="s">
        <v>3152</v>
      </c>
      <c r="D78" s="752" t="s">
        <v>3153</v>
      </c>
      <c r="E78" s="7" t="s">
        <v>2208</v>
      </c>
      <c r="F78" s="752" t="s">
        <v>3067</v>
      </c>
      <c r="G78" s="753">
        <f>+'Scope 3 Summary'!E34</f>
        <v>0</v>
      </c>
    </row>
    <row r="79" spans="2:7">
      <c r="B79" s="752" t="s">
        <v>3245</v>
      </c>
      <c r="C79" s="752" t="s">
        <v>3246</v>
      </c>
      <c r="D79" s="752" t="s">
        <v>3247</v>
      </c>
      <c r="E79" s="7" t="s">
        <v>3035</v>
      </c>
      <c r="F79" s="752" t="s">
        <v>3057</v>
      </c>
      <c r="G79" s="753">
        <f>+'Results &amp; Summary'!E38</f>
        <v>0</v>
      </c>
    </row>
    <row r="80" spans="2:7">
      <c r="B80" s="752" t="s">
        <v>3154</v>
      </c>
      <c r="C80" s="752" t="s">
        <v>3155</v>
      </c>
      <c r="D80" s="752" t="s">
        <v>3156</v>
      </c>
      <c r="E80" s="7" t="s">
        <v>2208</v>
      </c>
      <c r="F80" s="752" t="s">
        <v>3068</v>
      </c>
      <c r="G80" s="753">
        <f>+'Scope 3 Summary'!E21</f>
        <v>0</v>
      </c>
    </row>
    <row r="81" spans="2:7">
      <c r="B81" s="752" t="s">
        <v>3248</v>
      </c>
      <c r="C81" s="752" t="s">
        <v>3249</v>
      </c>
      <c r="D81" s="752" t="s">
        <v>3250</v>
      </c>
      <c r="E81" s="7" t="s">
        <v>3035</v>
      </c>
      <c r="F81" s="752" t="s">
        <v>3047</v>
      </c>
      <c r="G81" s="753">
        <f>+'Results &amp; Summary'!E25</f>
        <v>0</v>
      </c>
    </row>
    <row r="82" spans="2:7">
      <c r="B82" s="752" t="s">
        <v>3157</v>
      </c>
      <c r="C82" s="752" t="s">
        <v>3158</v>
      </c>
      <c r="D82" s="752" t="s">
        <v>3159</v>
      </c>
      <c r="E82" s="7" t="s">
        <v>2208</v>
      </c>
      <c r="F82" s="752" t="s">
        <v>3069</v>
      </c>
      <c r="G82" s="753">
        <f>+'Scope 3 Summary'!E28</f>
        <v>0</v>
      </c>
    </row>
    <row r="83" spans="2:7">
      <c r="B83" s="752" t="s">
        <v>3251</v>
      </c>
      <c r="C83" s="752" t="s">
        <v>3252</v>
      </c>
      <c r="D83" s="752" t="s">
        <v>3253</v>
      </c>
      <c r="E83" s="7" t="s">
        <v>3035</v>
      </c>
      <c r="F83" s="752" t="s">
        <v>3054</v>
      </c>
      <c r="G83" s="753">
        <f>+'Results &amp; Summary'!E32</f>
        <v>0</v>
      </c>
    </row>
    <row r="84" spans="2:7">
      <c r="B84" s="752" t="s">
        <v>3160</v>
      </c>
      <c r="C84" s="752"/>
      <c r="D84" s="752"/>
      <c r="E84" s="7" t="s">
        <v>2208</v>
      </c>
      <c r="F84" s="752" t="s">
        <v>1803</v>
      </c>
      <c r="G84" s="753">
        <f>+SUM('Cat 9 (Patient Visits)'!$D$53:$D$72)</f>
        <v>1000000</v>
      </c>
    </row>
    <row r="85" spans="2:7">
      <c r="B85" s="752" t="s">
        <v>3161</v>
      </c>
      <c r="C85" s="752" t="s">
        <v>3162</v>
      </c>
      <c r="D85" s="752" t="s">
        <v>3163</v>
      </c>
      <c r="E85" s="7" t="s">
        <v>2208</v>
      </c>
      <c r="F85" s="752" t="s">
        <v>2919</v>
      </c>
      <c r="G85" s="753">
        <f>+'Scope 1 and 2 Data'!C264</f>
        <v>0</v>
      </c>
    </row>
    <row r="86" spans="2:7">
      <c r="B86" s="752" t="s">
        <v>3164</v>
      </c>
      <c r="C86" s="752" t="s">
        <v>3165</v>
      </c>
      <c r="D86" s="752" t="s">
        <v>3166</v>
      </c>
      <c r="E86" s="7" t="s">
        <v>2208</v>
      </c>
      <c r="F86" s="752" t="s">
        <v>3008</v>
      </c>
      <c r="G86" s="753">
        <f>+'Scope 1 and 2 Data'!D264</f>
        <v>0</v>
      </c>
    </row>
    <row r="87" spans="2:7">
      <c r="B87" s="752" t="s">
        <v>3167</v>
      </c>
      <c r="C87" s="752" t="s">
        <v>3168</v>
      </c>
      <c r="D87" s="752" t="s">
        <v>3169</v>
      </c>
      <c r="E87" s="7" t="s">
        <v>2208</v>
      </c>
      <c r="F87" s="752" t="s">
        <v>2921</v>
      </c>
      <c r="G87" s="753">
        <f>+'Scope 1 and 2 Data'!C266</f>
        <v>0</v>
      </c>
    </row>
    <row r="88" spans="2:7">
      <c r="B88" s="752" t="s">
        <v>3170</v>
      </c>
      <c r="C88" s="752" t="s">
        <v>3171</v>
      </c>
      <c r="D88" s="752" t="s">
        <v>3172</v>
      </c>
      <c r="E88" s="7" t="s">
        <v>2208</v>
      </c>
      <c r="F88" s="752" t="s">
        <v>2922</v>
      </c>
      <c r="G88" s="753">
        <f>+'Scope 1 and 2 Data'!C267</f>
        <v>0</v>
      </c>
    </row>
    <row r="89" spans="2:7">
      <c r="B89" s="752" t="s">
        <v>3173</v>
      </c>
      <c r="C89" s="752" t="s">
        <v>3174</v>
      </c>
      <c r="D89" s="752" t="s">
        <v>3175</v>
      </c>
      <c r="E89" s="7" t="s">
        <v>2208</v>
      </c>
      <c r="F89" s="752" t="s">
        <v>2923</v>
      </c>
      <c r="G89" s="753">
        <f>+'Scope 1 and 2 Data'!C268</f>
        <v>0</v>
      </c>
    </row>
    <row r="90" spans="2:7">
      <c r="B90" s="752" t="s">
        <v>3176</v>
      </c>
      <c r="C90" s="752" t="s">
        <v>3177</v>
      </c>
      <c r="D90" s="752" t="s">
        <v>3178</v>
      </c>
      <c r="E90" s="7" t="s">
        <v>2208</v>
      </c>
      <c r="F90" s="752" t="s">
        <v>3010</v>
      </c>
      <c r="G90" s="753">
        <f>+'Scope 1 and 2 Data'!D266</f>
        <v>0</v>
      </c>
    </row>
    <row r="91" spans="2:7">
      <c r="B91" s="752" t="s">
        <v>3179</v>
      </c>
      <c r="C91" s="752" t="s">
        <v>3180</v>
      </c>
      <c r="D91" s="752" t="s">
        <v>3181</v>
      </c>
      <c r="E91" s="7" t="s">
        <v>2208</v>
      </c>
      <c r="F91" s="752" t="s">
        <v>3011</v>
      </c>
      <c r="G91" s="753">
        <f>+'Scope 1 and 2 Data'!D267</f>
        <v>0</v>
      </c>
    </row>
    <row r="92" spans="2:7">
      <c r="B92" s="752" t="s">
        <v>3182</v>
      </c>
      <c r="C92" s="752" t="s">
        <v>3183</v>
      </c>
      <c r="D92" s="752" t="s">
        <v>3184</v>
      </c>
      <c r="E92" s="7" t="s">
        <v>2208</v>
      </c>
      <c r="F92" s="752" t="s">
        <v>3012</v>
      </c>
      <c r="G92" s="753">
        <f>+'Scope 1 and 2 Data'!D268</f>
        <v>0</v>
      </c>
    </row>
    <row r="93" spans="2:7">
      <c r="B93" s="752" t="s">
        <v>3185</v>
      </c>
      <c r="C93" s="752" t="s">
        <v>3186</v>
      </c>
      <c r="D93" s="752" t="s">
        <v>3187</v>
      </c>
      <c r="E93" s="7" t="s">
        <v>2208</v>
      </c>
      <c r="F93" s="752" t="s">
        <v>2920</v>
      </c>
      <c r="G93" s="753">
        <f>+'Scope 1 and 2 Data'!C265</f>
        <v>0</v>
      </c>
    </row>
    <row r="94" spans="2:7">
      <c r="B94" s="752" t="s">
        <v>3188</v>
      </c>
      <c r="C94" s="752" t="s">
        <v>3189</v>
      </c>
      <c r="D94" s="752" t="s">
        <v>3190</v>
      </c>
      <c r="E94" s="7" t="s">
        <v>2208</v>
      </c>
      <c r="F94" s="752" t="s">
        <v>3009</v>
      </c>
      <c r="G94" s="753">
        <f>+'Scope 1 and 2 Data'!D265</f>
        <v>0</v>
      </c>
    </row>
    <row r="95" spans="2:7">
      <c r="B95" s="752" t="s">
        <v>3191</v>
      </c>
      <c r="C95" s="752" t="s">
        <v>3192</v>
      </c>
      <c r="D95" s="752" t="s">
        <v>3193</v>
      </c>
      <c r="E95" s="7" t="s">
        <v>2208</v>
      </c>
      <c r="F95" s="752" t="s">
        <v>3004</v>
      </c>
      <c r="G95" s="753">
        <f>+'Scope 1 and 2 Data'!C248</f>
        <v>0</v>
      </c>
    </row>
    <row r="96" spans="2:7">
      <c r="B96" s="752" t="s">
        <v>3194</v>
      </c>
      <c r="C96" s="752" t="s">
        <v>3195</v>
      </c>
      <c r="D96" s="752" t="s">
        <v>3196</v>
      </c>
      <c r="E96" s="7" t="s">
        <v>2208</v>
      </c>
      <c r="F96" s="752" t="s">
        <v>3005</v>
      </c>
      <c r="G96" s="753" t="s">
        <v>1719</v>
      </c>
    </row>
    <row r="97" spans="2:7">
      <c r="B97" s="752" t="s">
        <v>3197</v>
      </c>
      <c r="C97" s="752" t="s">
        <v>3198</v>
      </c>
      <c r="D97" s="752" t="s">
        <v>3199</v>
      </c>
      <c r="E97" s="7" t="s">
        <v>2208</v>
      </c>
      <c r="F97" s="752" t="s">
        <v>3006</v>
      </c>
      <c r="G97" s="753">
        <f>+'Scope 1 and 2 Data'!C249</f>
        <v>0</v>
      </c>
    </row>
    <row r="98" spans="2:7">
      <c r="B98" s="752" t="s">
        <v>3200</v>
      </c>
      <c r="C98" s="752" t="s">
        <v>3201</v>
      </c>
      <c r="D98" s="752" t="s">
        <v>3202</v>
      </c>
      <c r="E98" s="7" t="s">
        <v>2208</v>
      </c>
      <c r="F98" s="752" t="s">
        <v>3007</v>
      </c>
      <c r="G98" s="753">
        <f>+'Scope 1 and 2 Data'!E249</f>
        <v>0</v>
      </c>
    </row>
    <row r="99" spans="2:7">
      <c r="B99" s="752" t="s">
        <v>3203</v>
      </c>
      <c r="C99" s="752" t="s">
        <v>3204</v>
      </c>
      <c r="D99" s="752" t="s">
        <v>3205</v>
      </c>
      <c r="E99" s="7" t="s">
        <v>2208</v>
      </c>
      <c r="F99" s="752" t="s">
        <v>3037</v>
      </c>
      <c r="G99" s="753">
        <f>+'Anesthetic Gases'!H20</f>
        <v>0</v>
      </c>
    </row>
    <row r="100" spans="2:7">
      <c r="B100" s="752" t="s">
        <v>3206</v>
      </c>
      <c r="C100" s="752" t="s">
        <v>3207</v>
      </c>
      <c r="D100" s="752" t="s">
        <v>3208</v>
      </c>
      <c r="E100" s="7" t="s">
        <v>2208</v>
      </c>
      <c r="F100" s="752" t="s">
        <v>3036</v>
      </c>
      <c r="G100" s="753">
        <f>+'Anesthetic Gases'!H14</f>
        <v>0</v>
      </c>
    </row>
    <row r="101" spans="2:7">
      <c r="B101" s="752" t="s">
        <v>3209</v>
      </c>
      <c r="C101" s="752" t="s">
        <v>3210</v>
      </c>
      <c r="D101" s="752" t="s">
        <v>3211</v>
      </c>
      <c r="E101" s="7" t="s">
        <v>2208</v>
      </c>
      <c r="F101" s="752" t="s">
        <v>3038</v>
      </c>
      <c r="G101" s="753">
        <f>+'Anesthetic Gases'!H27</f>
        <v>0</v>
      </c>
    </row>
    <row r="102" spans="2:7">
      <c r="B102" s="752" t="s">
        <v>3212</v>
      </c>
      <c r="C102" s="752" t="s">
        <v>3213</v>
      </c>
      <c r="D102" s="752" t="s">
        <v>3214</v>
      </c>
      <c r="E102" s="7" t="s">
        <v>2208</v>
      </c>
      <c r="F102" s="752" t="s">
        <v>3039</v>
      </c>
      <c r="G102" s="753">
        <f>+'Anesthetic Gases'!I31+'Anesthetic Gases'!I35</f>
        <v>0</v>
      </c>
    </row>
    <row r="103" spans="2:7">
      <c r="B103" s="752" t="s">
        <v>3215</v>
      </c>
      <c r="C103" s="752" t="s">
        <v>3216</v>
      </c>
      <c r="D103" s="752" t="s">
        <v>3217</v>
      </c>
      <c r="E103" s="7" t="s">
        <v>2208</v>
      </c>
      <c r="F103" s="752" t="s">
        <v>3045</v>
      </c>
      <c r="G103" s="753">
        <f>+SUM('Cat 9 (Patient Visits)'!$E$81:$E$96)</f>
        <v>50</v>
      </c>
    </row>
    <row r="104" spans="2:7">
      <c r="B104" s="752" t="s">
        <v>3254</v>
      </c>
      <c r="C104" s="752" t="s">
        <v>3255</v>
      </c>
      <c r="D104" s="752" t="s">
        <v>3256</v>
      </c>
      <c r="E104" s="7" t="s">
        <v>3035</v>
      </c>
      <c r="F104" s="752" t="s">
        <v>3016</v>
      </c>
      <c r="G104" s="753">
        <f>+'Results &amp; Summary'!E11</f>
        <v>0</v>
      </c>
    </row>
    <row r="105" spans="2:7">
      <c r="B105" s="752" t="s">
        <v>3257</v>
      </c>
      <c r="C105" s="752" t="s">
        <v>3258</v>
      </c>
      <c r="D105" s="752" t="s">
        <v>3259</v>
      </c>
      <c r="E105" s="7" t="s">
        <v>3035</v>
      </c>
      <c r="F105" s="752" t="s">
        <v>3017</v>
      </c>
      <c r="G105" s="753">
        <f>+'Results &amp; Summary'!E12</f>
        <v>0</v>
      </c>
    </row>
    <row r="106" spans="2:7">
      <c r="B106" s="752" t="s">
        <v>3260</v>
      </c>
      <c r="C106" s="752" t="s">
        <v>3261</v>
      </c>
      <c r="D106" s="752" t="s">
        <v>3262</v>
      </c>
      <c r="E106" s="7" t="s">
        <v>3035</v>
      </c>
      <c r="F106" s="752" t="s">
        <v>3014</v>
      </c>
      <c r="G106" s="753">
        <f>+'Results &amp; Summary'!D8</f>
        <v>0</v>
      </c>
    </row>
    <row r="107" spans="2:7">
      <c r="B107" s="752" t="s">
        <v>3263</v>
      </c>
      <c r="C107" s="752" t="s">
        <v>3264</v>
      </c>
      <c r="D107" s="752" t="s">
        <v>3265</v>
      </c>
      <c r="E107" s="7" t="s">
        <v>3035</v>
      </c>
      <c r="F107" s="752" t="s">
        <v>3015</v>
      </c>
      <c r="G107" s="753">
        <f>+'Results &amp; Summary'!E9</f>
        <v>0</v>
      </c>
    </row>
    <row r="108" spans="2:7">
      <c r="B108" s="752" t="s">
        <v>3266</v>
      </c>
      <c r="C108" s="752" t="s">
        <v>3267</v>
      </c>
      <c r="D108" s="752" t="s">
        <v>3268</v>
      </c>
      <c r="E108" s="7" t="s">
        <v>3035</v>
      </c>
      <c r="F108" s="752" t="s">
        <v>3020</v>
      </c>
      <c r="G108" s="753">
        <f>+'Results &amp; Summary'!E21</f>
        <v>0</v>
      </c>
    </row>
    <row r="109" spans="2:7">
      <c r="B109" s="752" t="s">
        <v>3269</v>
      </c>
      <c r="C109" s="752" t="s">
        <v>3270</v>
      </c>
      <c r="D109" s="752" t="s">
        <v>3271</v>
      </c>
      <c r="E109" s="7" t="s">
        <v>3035</v>
      </c>
      <c r="F109" s="752" t="s">
        <v>3021</v>
      </c>
      <c r="G109" s="753">
        <f>+'Results &amp; Summary'!E22</f>
        <v>0</v>
      </c>
    </row>
    <row r="110" spans="2:7">
      <c r="B110" s="752" t="s">
        <v>3272</v>
      </c>
      <c r="C110" s="763"/>
      <c r="D110" s="763"/>
      <c r="E110" s="7" t="s">
        <v>3035</v>
      </c>
      <c r="F110" s="752" t="s">
        <v>3071</v>
      </c>
      <c r="G110" s="753">
        <f>+'Facility or System Data'!C11</f>
        <v>0</v>
      </c>
    </row>
    <row r="111" spans="2:7">
      <c r="B111" s="752" t="s">
        <v>3273</v>
      </c>
      <c r="C111" s="763"/>
      <c r="D111" s="763"/>
      <c r="E111" s="7" t="s">
        <v>3035</v>
      </c>
      <c r="F111" s="752" t="s">
        <v>1802</v>
      </c>
      <c r="G111" s="753">
        <f>+'Facility or System Data'!C13</f>
        <v>0</v>
      </c>
    </row>
    <row r="112" spans="2:7">
      <c r="B112" s="752" t="s">
        <v>3274</v>
      </c>
      <c r="C112" s="763"/>
      <c r="D112" s="763"/>
      <c r="E112" s="7" t="s">
        <v>3035</v>
      </c>
      <c r="F112" s="752" t="s">
        <v>3072</v>
      </c>
      <c r="G112" s="753">
        <f>+'Facility or System Data'!C17</f>
        <v>0</v>
      </c>
    </row>
    <row r="113" spans="2:7">
      <c r="B113" s="752" t="s">
        <v>3275</v>
      </c>
      <c r="C113" s="763"/>
      <c r="D113" s="763"/>
      <c r="E113" s="7" t="s">
        <v>3035</v>
      </c>
      <c r="F113" s="752" t="s">
        <v>3073</v>
      </c>
      <c r="G113" s="753">
        <f>+'Facility or System Data'!C15</f>
        <v>0</v>
      </c>
    </row>
    <row r="114" spans="2:7">
      <c r="B114" s="752" t="s">
        <v>3276</v>
      </c>
      <c r="C114" s="763"/>
      <c r="D114" s="763"/>
      <c r="E114" s="7" t="s">
        <v>3035</v>
      </c>
      <c r="F114" s="752" t="s">
        <v>3074</v>
      </c>
      <c r="G114" s="753">
        <f>+'Facility or System Data'!C16</f>
        <v>0</v>
      </c>
    </row>
    <row r="115" spans="2:7">
      <c r="F115" s="7"/>
    </row>
  </sheetData>
  <autoFilter ref="B43:G114" xr:uid="{4397342C-D11A-43AB-A7F3-6FA2CBE089D5}"/>
  <conditionalFormatting sqref="B43:B44">
    <cfRule type="duplicateValues" dxfId="26" priority="128"/>
  </conditionalFormatting>
  <conditionalFormatting sqref="B45:B114">
    <cfRule type="duplicateValues" dxfId="25" priority="133"/>
  </conditionalFormatting>
  <conditionalFormatting sqref="C44">
    <cfRule type="duplicateValues" dxfId="24" priority="62"/>
  </conditionalFormatting>
  <conditionalFormatting sqref="C45:C114">
    <cfRule type="duplicateValues" dxfId="23" priority="129"/>
  </conditionalFormatting>
  <conditionalFormatting sqref="D44">
    <cfRule type="duplicateValues" dxfId="22" priority="61"/>
  </conditionalFormatting>
  <conditionalFormatting sqref="D45:D114">
    <cfRule type="duplicateValues" dxfId="21" priority="131"/>
  </conditionalFormatting>
  <pageMargins left="0.7" right="0.7" top="0.75" bottom="0.75" header="0.3" footer="0.3"/>
  <pageSetup orientation="portrait" horizontalDpi="1200" verticalDpi="1200" r:id="rId1"/>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5F85D8-3FD4-4953-85CC-CB344CBC5B73}">
  <sheetPr codeName="Sheet42"/>
  <dimension ref="A1:N63"/>
  <sheetViews>
    <sheetView zoomScaleNormal="100" workbookViewId="0">
      <selection sqref="A1:XFD1048576"/>
    </sheetView>
  </sheetViews>
  <sheetFormatPr defaultColWidth="8.125" defaultRowHeight="14.25"/>
  <cols>
    <col min="1" max="1" width="16.375" style="1306" customWidth="1"/>
    <col min="2" max="2" width="44.625" style="1306" customWidth="1"/>
    <col min="3" max="3" width="18.875" style="1306" customWidth="1"/>
    <col min="4" max="6" width="12.875" style="1306" customWidth="1"/>
    <col min="7" max="7" width="13.5" style="1306" customWidth="1"/>
    <col min="8" max="11" width="12.875" style="1306" customWidth="1"/>
    <col min="12" max="12" width="2.25" style="1306" customWidth="1"/>
    <col min="13" max="13" width="6.5" style="1307" customWidth="1"/>
    <col min="14" max="16384" width="8.125" style="1306"/>
  </cols>
  <sheetData>
    <row r="1" spans="1:13" s="1304" customFormat="1" ht="11.25">
      <c r="A1" s="1304" t="s">
        <v>3943</v>
      </c>
    </row>
    <row r="2" spans="1:13" ht="20.25">
      <c r="A2" s="1305" t="s">
        <v>4139</v>
      </c>
      <c r="B2" s="1305"/>
      <c r="C2" s="1305"/>
      <c r="D2" s="1305"/>
      <c r="E2" s="1305"/>
      <c r="F2" s="1305"/>
    </row>
    <row r="3" spans="1:13" ht="15">
      <c r="A3" s="1308" t="s">
        <v>3945</v>
      </c>
    </row>
    <row r="4" spans="1:13" s="1309" customFormat="1" ht="7.5" thickBot="1">
      <c r="M4" s="1310"/>
    </row>
    <row r="5" spans="1:13" ht="30.75" thickTop="1">
      <c r="A5" s="1311" t="s">
        <v>3946</v>
      </c>
      <c r="B5" s="1312" t="s">
        <v>3947</v>
      </c>
      <c r="C5" s="1313" t="s">
        <v>3948</v>
      </c>
      <c r="D5" s="1314">
        <v>45818</v>
      </c>
      <c r="E5" s="1313" t="s">
        <v>3949</v>
      </c>
      <c r="F5" s="1315" t="s">
        <v>3950</v>
      </c>
    </row>
    <row r="6" spans="1:13" ht="15.75" thickBot="1">
      <c r="A6" s="1316" t="s">
        <v>3951</v>
      </c>
      <c r="B6" s="1317" t="s">
        <v>1966</v>
      </c>
      <c r="C6" s="1318" t="s">
        <v>3952</v>
      </c>
      <c r="D6" s="1319">
        <v>1</v>
      </c>
      <c r="E6" s="1318" t="s">
        <v>1206</v>
      </c>
      <c r="F6" s="1320">
        <v>2024</v>
      </c>
    </row>
    <row r="7" spans="1:13" ht="16.5" thickTop="1" thickBot="1">
      <c r="A7" s="1321"/>
      <c r="B7" s="1322"/>
      <c r="C7" s="1323"/>
      <c r="D7" s="1324"/>
      <c r="E7" s="1323"/>
      <c r="F7" s="1325"/>
    </row>
    <row r="8" spans="1:13" ht="16.5" thickTop="1" thickBot="1">
      <c r="A8" s="1597" t="s">
        <v>4140</v>
      </c>
      <c r="B8" s="1598"/>
      <c r="C8" s="1598"/>
      <c r="D8" s="1598"/>
      <c r="E8" s="1598"/>
      <c r="F8" s="1598"/>
      <c r="G8" s="1598"/>
      <c r="H8" s="1598"/>
      <c r="I8" s="1598"/>
      <c r="J8" s="1598"/>
      <c r="K8" s="1598"/>
      <c r="L8" s="1598"/>
      <c r="M8" s="1599"/>
    </row>
    <row r="9" spans="1:13" ht="15" thickTop="1"/>
    <row r="10" spans="1:13" ht="15">
      <c r="A10" s="1326" t="s">
        <v>4141</v>
      </c>
    </row>
    <row r="12" spans="1:13" ht="15" thickBot="1">
      <c r="D12" s="1327"/>
      <c r="E12" s="1327"/>
      <c r="F12" s="1327"/>
      <c r="G12" s="1328"/>
      <c r="H12" s="1327"/>
      <c r="I12" s="1327"/>
      <c r="J12" s="1327"/>
      <c r="K12" s="1327"/>
    </row>
    <row r="13" spans="1:13" ht="30.75" thickTop="1">
      <c r="B13" s="1600"/>
      <c r="C13" s="1329" t="s">
        <v>1</v>
      </c>
      <c r="D13" s="1329" t="s">
        <v>4142</v>
      </c>
      <c r="E13" s="1330" t="s">
        <v>4143</v>
      </c>
      <c r="F13" s="1329" t="s">
        <v>2901</v>
      </c>
      <c r="G13" s="1329" t="s">
        <v>4144</v>
      </c>
      <c r="H13" s="1329" t="s">
        <v>4142</v>
      </c>
      <c r="I13" s="1329" t="s">
        <v>4143</v>
      </c>
      <c r="J13" s="1329" t="s">
        <v>4142</v>
      </c>
      <c r="K13" s="1329" t="s">
        <v>4143</v>
      </c>
    </row>
    <row r="14" spans="1:13" ht="18" thickBot="1">
      <c r="B14" s="1600"/>
      <c r="C14" s="1331"/>
      <c r="D14" s="1332" t="s">
        <v>4145</v>
      </c>
      <c r="E14" s="1332" t="s">
        <v>4145</v>
      </c>
      <c r="F14" s="1332" t="s">
        <v>4146</v>
      </c>
      <c r="G14" s="1332" t="s">
        <v>4147</v>
      </c>
      <c r="H14" s="1332" t="s">
        <v>4148</v>
      </c>
      <c r="I14" s="1332" t="s">
        <v>4148</v>
      </c>
      <c r="J14" s="1332" t="s">
        <v>4149</v>
      </c>
      <c r="K14" s="1332" t="s">
        <v>4149</v>
      </c>
      <c r="M14" s="1333"/>
    </row>
    <row r="15" spans="1:13" ht="16.5" customHeight="1" thickTop="1" thickBot="1">
      <c r="A15" s="1595" t="s">
        <v>4150</v>
      </c>
      <c r="B15" s="1329" t="s">
        <v>4151</v>
      </c>
      <c r="C15" s="1334">
        <v>2024</v>
      </c>
      <c r="D15" s="1335">
        <v>44.796999999999997</v>
      </c>
      <c r="E15" s="1335">
        <v>47.155000000000001</v>
      </c>
      <c r="F15" s="1335">
        <v>729.92700000000002</v>
      </c>
      <c r="G15" s="1335">
        <v>1370</v>
      </c>
      <c r="H15" s="1335">
        <v>12.444000000000001</v>
      </c>
      <c r="I15" s="1335">
        <v>13.099</v>
      </c>
      <c r="J15" s="1335">
        <v>9.0830000000000002</v>
      </c>
      <c r="K15" s="1335">
        <v>9.5609999999999999</v>
      </c>
    </row>
    <row r="16" spans="1:13" ht="16.5" thickTop="1" thickBot="1">
      <c r="A16" s="1601"/>
      <c r="B16" s="1329" t="s">
        <v>4152</v>
      </c>
      <c r="C16" s="1336">
        <v>2024</v>
      </c>
      <c r="D16" s="1335">
        <v>43.905000000000001</v>
      </c>
      <c r="E16" s="1335">
        <v>46.215000000000003</v>
      </c>
      <c r="F16" s="1335">
        <v>800</v>
      </c>
      <c r="G16" s="1335">
        <v>1250</v>
      </c>
      <c r="H16" s="1335">
        <v>12.196</v>
      </c>
      <c r="I16" s="1335">
        <v>12.837999999999999</v>
      </c>
      <c r="J16" s="1335">
        <v>9.7569999999999997</v>
      </c>
      <c r="K16" s="1335">
        <v>10.27</v>
      </c>
    </row>
    <row r="17" spans="1:14" ht="16.5" thickTop="1" thickBot="1">
      <c r="A17" s="1601"/>
      <c r="B17" s="1329" t="s">
        <v>4153</v>
      </c>
      <c r="C17" s="1336">
        <v>2024</v>
      </c>
      <c r="D17" s="1335">
        <v>43.865000000000002</v>
      </c>
      <c r="E17" s="1335">
        <v>46.173999999999999</v>
      </c>
      <c r="F17" s="1335">
        <v>802.56799999999998</v>
      </c>
      <c r="G17" s="1335">
        <v>1246</v>
      </c>
      <c r="H17" s="1335">
        <v>12.185</v>
      </c>
      <c r="I17" s="1335">
        <v>12.826000000000001</v>
      </c>
      <c r="J17" s="1335">
        <v>9.7789999999999999</v>
      </c>
      <c r="K17" s="1335">
        <v>10.294</v>
      </c>
    </row>
    <row r="18" spans="1:14" ht="16.5" thickTop="1" thickBot="1">
      <c r="A18" s="1601"/>
      <c r="B18" s="1329" t="s">
        <v>2569</v>
      </c>
      <c r="C18" s="1336">
        <v>2024</v>
      </c>
      <c r="D18" s="1335">
        <v>45.3</v>
      </c>
      <c r="E18" s="1335">
        <v>49.1</v>
      </c>
      <c r="F18" s="1335">
        <v>575.37400000000002</v>
      </c>
      <c r="G18" s="1335">
        <v>1738</v>
      </c>
      <c r="H18" s="1335">
        <v>12.583</v>
      </c>
      <c r="I18" s="1335">
        <v>13.638999999999999</v>
      </c>
      <c r="J18" s="1335">
        <v>7.24</v>
      </c>
      <c r="K18" s="1335">
        <v>7.8470000000000004</v>
      </c>
    </row>
    <row r="19" spans="1:14" ht="16.5" thickTop="1" thickBot="1">
      <c r="A19" s="1601"/>
      <c r="B19" s="1329" t="s">
        <v>4050</v>
      </c>
      <c r="C19" s="1336">
        <v>2024</v>
      </c>
      <c r="D19" s="1337">
        <v>28.613</v>
      </c>
      <c r="E19" s="1335">
        <v>30.119</v>
      </c>
      <c r="F19" s="1335">
        <v>850</v>
      </c>
      <c r="G19" s="1335">
        <v>1176.471</v>
      </c>
      <c r="H19" s="1335">
        <v>7.9480000000000004</v>
      </c>
      <c r="I19" s="1335">
        <v>8.3659999999999997</v>
      </c>
      <c r="J19" s="1335">
        <v>6.7560000000000002</v>
      </c>
      <c r="K19" s="1335">
        <v>7.1109999999999998</v>
      </c>
    </row>
    <row r="20" spans="1:14" ht="16.5" thickTop="1" thickBot="1">
      <c r="A20" s="1601"/>
      <c r="B20" s="1329" t="s">
        <v>4049</v>
      </c>
      <c r="C20" s="1336">
        <v>2024</v>
      </c>
      <c r="D20" s="1335">
        <v>24.408000000000001</v>
      </c>
      <c r="E20" s="1335">
        <v>25.692</v>
      </c>
      <c r="F20" s="1338"/>
      <c r="G20" s="1338"/>
      <c r="H20" s="1338">
        <v>6.78</v>
      </c>
      <c r="I20" s="1338">
        <v>7.1369999999999996</v>
      </c>
      <c r="J20" s="1338"/>
      <c r="K20" s="1338"/>
    </row>
    <row r="21" spans="1:14" ht="31.5" thickTop="1" thickBot="1">
      <c r="A21" s="1601"/>
      <c r="B21" s="1329" t="s">
        <v>4053</v>
      </c>
      <c r="C21" s="1336">
        <v>2024</v>
      </c>
      <c r="D21" s="1335">
        <v>24.37</v>
      </c>
      <c r="E21" s="1335">
        <v>25.652000000000001</v>
      </c>
      <c r="F21" s="1338"/>
      <c r="G21" s="1338"/>
      <c r="H21" s="1338">
        <v>6.7690000000000001</v>
      </c>
      <c r="I21" s="1338">
        <v>7.1260000000000003</v>
      </c>
      <c r="J21" s="1338"/>
      <c r="K21" s="1338"/>
    </row>
    <row r="22" spans="1:14" ht="16.5" thickTop="1" thickBot="1">
      <c r="A22" s="1601"/>
      <c r="B22" s="1329" t="s">
        <v>4048</v>
      </c>
      <c r="C22" s="1336">
        <v>2024</v>
      </c>
      <c r="D22" s="1335">
        <v>25.405000000000001</v>
      </c>
      <c r="E22" s="1335">
        <v>26.742000000000001</v>
      </c>
      <c r="F22" s="1338"/>
      <c r="G22" s="1338"/>
      <c r="H22" s="1338">
        <v>7.0570000000000004</v>
      </c>
      <c r="I22" s="1338">
        <v>7.4279999999999999</v>
      </c>
      <c r="J22" s="1338"/>
      <c r="K22" s="1338"/>
      <c r="N22" s="1306">
        <f>H22*1000*1000</f>
        <v>7057000</v>
      </c>
    </row>
    <row r="23" spans="1:14" ht="16.5" thickTop="1" thickBot="1">
      <c r="A23" s="1601"/>
      <c r="B23" s="1329" t="s">
        <v>4154</v>
      </c>
      <c r="C23" s="1336">
        <v>2024</v>
      </c>
      <c r="D23" s="1335">
        <v>30.24</v>
      </c>
      <c r="E23" s="1335">
        <v>31.832000000000001</v>
      </c>
      <c r="F23" s="1338"/>
      <c r="G23" s="1338"/>
      <c r="H23" s="1338">
        <v>8.4</v>
      </c>
      <c r="I23" s="1338">
        <v>8.8420000000000005</v>
      </c>
      <c r="J23" s="1338"/>
      <c r="K23" s="1338"/>
      <c r="N23" s="1306">
        <f>H23*1000*1000</f>
        <v>8400000</v>
      </c>
    </row>
    <row r="24" spans="1:14" ht="16.5" thickTop="1" thickBot="1">
      <c r="A24" s="1601"/>
      <c r="B24" s="1329" t="s">
        <v>245</v>
      </c>
      <c r="C24" s="1336">
        <v>2024</v>
      </c>
      <c r="D24" s="1335">
        <v>43.027999999999999</v>
      </c>
      <c r="E24" s="1335">
        <v>45.774999999999999</v>
      </c>
      <c r="F24" s="1335">
        <v>830.56500000000005</v>
      </c>
      <c r="G24" s="1335">
        <v>1204</v>
      </c>
      <c r="H24" s="1335">
        <v>11.952</v>
      </c>
      <c r="I24" s="1335">
        <v>12.715</v>
      </c>
      <c r="J24" s="1335">
        <v>9.9269999999999996</v>
      </c>
      <c r="K24" s="1335">
        <v>10.561</v>
      </c>
    </row>
    <row r="25" spans="1:14" ht="16.5" thickTop="1" thickBot="1">
      <c r="A25" s="1601"/>
      <c r="B25" s="1329" t="s">
        <v>251</v>
      </c>
      <c r="C25" s="1336">
        <v>2024</v>
      </c>
      <c r="D25" s="1335">
        <v>42.719000000000001</v>
      </c>
      <c r="E25" s="1335">
        <v>45.399000000000001</v>
      </c>
      <c r="F25" s="1335">
        <v>833.51900000000001</v>
      </c>
      <c r="G25" s="1335">
        <v>1199.7329999999999</v>
      </c>
      <c r="H25" s="1335">
        <v>11.866</v>
      </c>
      <c r="I25" s="1335">
        <v>12.611000000000001</v>
      </c>
      <c r="J25" s="1335">
        <v>9.891</v>
      </c>
      <c r="K25" s="1335">
        <v>10.510999999999999</v>
      </c>
    </row>
    <row r="26" spans="1:14" ht="16.5" thickTop="1" thickBot="1">
      <c r="A26" s="1601"/>
      <c r="B26" s="1329" t="s">
        <v>4155</v>
      </c>
      <c r="C26" s="1336">
        <v>2024</v>
      </c>
      <c r="D26" s="1335">
        <v>40.752000000000002</v>
      </c>
      <c r="E26" s="1335">
        <v>43.353000000000002</v>
      </c>
      <c r="F26" s="1335">
        <v>983.28399999999999</v>
      </c>
      <c r="G26" s="1335">
        <v>1017</v>
      </c>
      <c r="H26" s="1335">
        <v>11.32</v>
      </c>
      <c r="I26" s="1335">
        <v>12.042</v>
      </c>
      <c r="J26" s="1335">
        <v>11.131</v>
      </c>
      <c r="K26" s="1335">
        <v>11.840999999999999</v>
      </c>
    </row>
    <row r="27" spans="1:14" ht="16.5" thickTop="1" thickBot="1">
      <c r="A27" s="1601"/>
      <c r="B27" s="1329" t="s">
        <v>4156</v>
      </c>
      <c r="C27" s="1336">
        <v>2024</v>
      </c>
      <c r="D27" s="1335">
        <v>42.569000000000003</v>
      </c>
      <c r="E27" s="1335">
        <v>45.286000000000001</v>
      </c>
      <c r="F27" s="1335">
        <v>853.971</v>
      </c>
      <c r="G27" s="1335">
        <v>1171</v>
      </c>
      <c r="H27" s="1335">
        <v>11.824999999999999</v>
      </c>
      <c r="I27" s="1335">
        <v>12.579000000000001</v>
      </c>
      <c r="J27" s="1335">
        <v>10.098000000000001</v>
      </c>
      <c r="K27" s="1335">
        <v>10.742000000000001</v>
      </c>
    </row>
    <row r="28" spans="1:14" ht="16.5" thickTop="1" thickBot="1">
      <c r="A28" s="1601"/>
      <c r="B28" s="1329" t="s">
        <v>4037</v>
      </c>
      <c r="C28" s="1336">
        <v>2024</v>
      </c>
      <c r="D28" s="1335">
        <v>40.752000000000002</v>
      </c>
      <c r="E28" s="1335">
        <v>43.353000000000002</v>
      </c>
      <c r="F28" s="1335">
        <v>864.30399999999997</v>
      </c>
      <c r="G28" s="1335">
        <v>1157</v>
      </c>
      <c r="H28" s="1335">
        <v>11.32</v>
      </c>
      <c r="I28" s="1335">
        <v>12.042</v>
      </c>
      <c r="J28" s="1335">
        <v>9.7840000000000007</v>
      </c>
      <c r="K28" s="1335">
        <v>10.407999999999999</v>
      </c>
    </row>
    <row r="29" spans="1:14" ht="16.5" thickTop="1" thickBot="1">
      <c r="A29" s="1601"/>
      <c r="B29" s="1329" t="s">
        <v>247</v>
      </c>
      <c r="C29" s="1336">
        <v>2024</v>
      </c>
      <c r="D29" s="1335">
        <v>45.944000000000003</v>
      </c>
      <c r="E29" s="1335">
        <v>49.332999999999998</v>
      </c>
      <c r="F29" s="1335">
        <v>529.74900000000002</v>
      </c>
      <c r="G29" s="1339">
        <v>1887.6849999999999</v>
      </c>
      <c r="H29" s="1335">
        <v>12.762</v>
      </c>
      <c r="I29" s="1335">
        <v>13.704000000000001</v>
      </c>
      <c r="J29" s="1335">
        <v>6.7610000000000001</v>
      </c>
      <c r="K29" s="1335">
        <v>7.2590000000000003</v>
      </c>
    </row>
    <row r="30" spans="1:14" ht="16.5" thickTop="1" thickBot="1">
      <c r="A30" s="1601"/>
      <c r="B30" s="1329" t="s">
        <v>4038</v>
      </c>
      <c r="C30" s="1336">
        <v>2024</v>
      </c>
      <c r="D30" s="1335">
        <v>45.447000000000003</v>
      </c>
      <c r="E30" s="1335">
        <v>47.838999999999999</v>
      </c>
      <c r="F30" s="1335">
        <v>674.30899999999997</v>
      </c>
      <c r="G30" s="1335">
        <v>1483</v>
      </c>
      <c r="H30" s="1335">
        <v>12.624000000000001</v>
      </c>
      <c r="I30" s="1335">
        <v>13.289</v>
      </c>
      <c r="J30" s="1335">
        <v>8.5129999999999999</v>
      </c>
      <c r="K30" s="1335">
        <v>8.9610000000000003</v>
      </c>
    </row>
    <row r="31" spans="1:14" ht="16.5" thickTop="1" thickBot="1">
      <c r="A31" s="1601"/>
      <c r="B31" s="1329" t="s">
        <v>4157</v>
      </c>
      <c r="C31" s="1336">
        <v>2024</v>
      </c>
      <c r="D31" s="1335">
        <v>45.627000000000002</v>
      </c>
      <c r="E31" s="1335">
        <v>50.552</v>
      </c>
      <c r="F31" s="1335">
        <v>0.79600000000000004</v>
      </c>
      <c r="G31" s="1335">
        <v>1255568.6839999999</v>
      </c>
      <c r="H31" s="1335">
        <v>12.673999999999999</v>
      </c>
      <c r="I31" s="1335">
        <v>14.042</v>
      </c>
      <c r="J31" s="1335">
        <v>0.01</v>
      </c>
      <c r="K31" s="1335">
        <v>1.0999999999999999E-2</v>
      </c>
    </row>
    <row r="32" spans="1:14" ht="16.5" thickTop="1" thickBot="1">
      <c r="A32" s="1601"/>
      <c r="B32" s="1329" t="s">
        <v>4158</v>
      </c>
      <c r="C32" s="1336">
        <v>2024</v>
      </c>
      <c r="D32" s="1335">
        <v>45.627000000000002</v>
      </c>
      <c r="E32" s="1335">
        <v>50.552</v>
      </c>
      <c r="F32" s="1335">
        <v>0.79600000000000004</v>
      </c>
      <c r="G32" s="1335">
        <v>1255568.6839999999</v>
      </c>
      <c r="H32" s="1335">
        <v>12.673999999999999</v>
      </c>
      <c r="I32" s="1335">
        <v>14.042</v>
      </c>
      <c r="J32" s="1335">
        <v>0.01</v>
      </c>
      <c r="K32" s="1335">
        <v>1.0999999999999999E-2</v>
      </c>
    </row>
    <row r="33" spans="1:11" ht="16.5" thickTop="1" thickBot="1">
      <c r="A33" s="1601"/>
      <c r="B33" s="1340" t="s">
        <v>4033</v>
      </c>
      <c r="C33" s="1336">
        <v>2024</v>
      </c>
      <c r="D33" s="1335">
        <v>46.601999999999997</v>
      </c>
      <c r="E33" s="1335">
        <v>50.654000000000003</v>
      </c>
      <c r="F33" s="1335">
        <v>366.3</v>
      </c>
      <c r="G33" s="1335">
        <v>2730</v>
      </c>
      <c r="H33" s="1335">
        <v>12.945</v>
      </c>
      <c r="I33" s="1335">
        <v>14.071</v>
      </c>
      <c r="J33" s="1335">
        <v>4.742</v>
      </c>
      <c r="K33" s="1335">
        <v>5.1539999999999999</v>
      </c>
    </row>
    <row r="34" spans="1:11" ht="16.5" thickTop="1" thickBot="1">
      <c r="A34" s="1601"/>
      <c r="B34" s="1340" t="s">
        <v>4052</v>
      </c>
      <c r="C34" s="1336">
        <v>2024</v>
      </c>
      <c r="D34" s="1338">
        <v>33.972000000000001</v>
      </c>
      <c r="E34" s="1338">
        <v>35.76</v>
      </c>
      <c r="F34" s="1338"/>
      <c r="G34" s="1338"/>
      <c r="H34" s="1338">
        <v>9.4369999999999994</v>
      </c>
      <c r="I34" s="1338">
        <v>9.9329999999999998</v>
      </c>
      <c r="J34" s="1338"/>
      <c r="K34" s="1338"/>
    </row>
    <row r="35" spans="1:11" ht="16.5" thickTop="1" thickBot="1">
      <c r="A35" s="1601"/>
      <c r="B35" s="1340" t="s">
        <v>4040</v>
      </c>
      <c r="C35" s="1336">
        <v>2024</v>
      </c>
      <c r="D35" s="1335">
        <v>44.598999999999997</v>
      </c>
      <c r="E35" s="1335">
        <v>46.945999999999998</v>
      </c>
      <c r="F35" s="1335">
        <v>746.26900000000001</v>
      </c>
      <c r="G35" s="1335">
        <v>1340</v>
      </c>
      <c r="H35" s="1335">
        <v>12.388999999999999</v>
      </c>
      <c r="I35" s="1335">
        <v>13.041</v>
      </c>
      <c r="J35" s="1335">
        <v>9.2449999999999992</v>
      </c>
      <c r="K35" s="1335">
        <v>9.7319999999999993</v>
      </c>
    </row>
    <row r="36" spans="1:11" ht="16.5" thickTop="1" thickBot="1">
      <c r="A36" s="1601"/>
      <c r="B36" s="1341" t="s">
        <v>4039</v>
      </c>
      <c r="C36" s="1336">
        <v>2024</v>
      </c>
      <c r="D36" s="1335">
        <v>43.036999999999999</v>
      </c>
      <c r="E36" s="1335">
        <v>45.433</v>
      </c>
      <c r="F36" s="1335">
        <v>750.226</v>
      </c>
      <c r="G36" s="1335">
        <v>1332.932</v>
      </c>
      <c r="H36" s="1335">
        <v>11.955</v>
      </c>
      <c r="I36" s="1335">
        <v>12.62</v>
      </c>
      <c r="J36" s="1335">
        <v>8.9689999999999994</v>
      </c>
      <c r="K36" s="1335">
        <v>9.468</v>
      </c>
    </row>
    <row r="37" spans="1:11" ht="16.5" thickTop="1" thickBot="1">
      <c r="A37" s="1601"/>
      <c r="B37" s="1341" t="s">
        <v>41</v>
      </c>
      <c r="C37" s="1336">
        <v>2024</v>
      </c>
      <c r="D37" s="1335">
        <v>46.4</v>
      </c>
      <c r="E37" s="1335">
        <v>50.4</v>
      </c>
      <c r="F37" s="1335">
        <v>514.93299999999999</v>
      </c>
      <c r="G37" s="1335">
        <v>1942</v>
      </c>
      <c r="H37" s="1335">
        <v>12.888999999999999</v>
      </c>
      <c r="I37" s="1335">
        <v>14</v>
      </c>
      <c r="J37" s="1335">
        <v>6.6369999999999996</v>
      </c>
      <c r="K37" s="1335">
        <v>7.2089999999999996</v>
      </c>
    </row>
    <row r="38" spans="1:11" ht="16.5" thickTop="1" thickBot="1">
      <c r="A38" s="1596"/>
      <c r="B38" s="1341" t="s">
        <v>4044</v>
      </c>
      <c r="C38" s="1342">
        <v>2024</v>
      </c>
      <c r="D38" s="1343">
        <v>42.207999999999998</v>
      </c>
      <c r="E38" s="1344">
        <v>45.2</v>
      </c>
      <c r="F38" s="1345">
        <v>853.971</v>
      </c>
      <c r="G38" s="1343">
        <v>1171</v>
      </c>
      <c r="H38" s="1343">
        <v>11.724</v>
      </c>
      <c r="I38" s="1344">
        <v>12.555999999999999</v>
      </c>
      <c r="J38" s="1343">
        <v>10.012</v>
      </c>
      <c r="K38" s="1344">
        <v>10.722</v>
      </c>
    </row>
    <row r="39" spans="1:11" ht="16.5" thickTop="1" thickBot="1">
      <c r="B39" s="1321"/>
      <c r="C39" s="1346"/>
      <c r="D39" s="1347"/>
      <c r="E39" s="1347"/>
      <c r="F39" s="1348"/>
      <c r="G39" s="1349"/>
      <c r="H39" s="1347"/>
      <c r="I39" s="1347"/>
    </row>
    <row r="40" spans="1:11" ht="30.75" thickTop="1">
      <c r="B40" s="1600"/>
      <c r="C40" s="1329" t="s">
        <v>1</v>
      </c>
      <c r="D40" s="1329" t="s">
        <v>4142</v>
      </c>
      <c r="E40" s="1329" t="s">
        <v>4143</v>
      </c>
      <c r="F40" s="1329" t="s">
        <v>2901</v>
      </c>
      <c r="G40" s="1329" t="s">
        <v>4144</v>
      </c>
      <c r="H40" s="1329" t="s">
        <v>4142</v>
      </c>
      <c r="I40" s="1329" t="s">
        <v>4143</v>
      </c>
      <c r="J40" s="1329" t="s">
        <v>4142</v>
      </c>
      <c r="K40" s="1329" t="s">
        <v>4143</v>
      </c>
    </row>
    <row r="41" spans="1:11" ht="18" thickBot="1">
      <c r="B41" s="1600"/>
      <c r="C41" s="1331"/>
      <c r="D41" s="1331" t="s">
        <v>4145</v>
      </c>
      <c r="E41" s="1331" t="s">
        <v>4145</v>
      </c>
      <c r="F41" s="1331" t="s">
        <v>4159</v>
      </c>
      <c r="G41" s="1350" t="s">
        <v>4147</v>
      </c>
      <c r="H41" s="1332" t="s">
        <v>4148</v>
      </c>
      <c r="I41" s="1332" t="s">
        <v>4148</v>
      </c>
      <c r="J41" s="1332" t="s">
        <v>4149</v>
      </c>
      <c r="K41" s="1332" t="s">
        <v>4149</v>
      </c>
    </row>
    <row r="42" spans="1:11" ht="16.5" customHeight="1" thickTop="1" thickBot="1">
      <c r="A42" s="1595" t="s">
        <v>4160</v>
      </c>
      <c r="B42" s="1341" t="s">
        <v>4161</v>
      </c>
      <c r="C42" s="1334">
        <v>2024</v>
      </c>
      <c r="D42" s="1335">
        <v>37.200000000000003</v>
      </c>
      <c r="E42" s="1335">
        <v>38.700000000000003</v>
      </c>
      <c r="F42" s="1335">
        <v>890</v>
      </c>
      <c r="G42" s="1351">
        <v>1123.596</v>
      </c>
      <c r="H42" s="1335">
        <v>10.333</v>
      </c>
      <c r="I42" s="1335">
        <v>10.75</v>
      </c>
      <c r="J42" s="1352">
        <v>9.1969999999999992</v>
      </c>
      <c r="K42" s="1352">
        <v>9.5679999999999996</v>
      </c>
    </row>
    <row r="43" spans="1:11" ht="16.5" thickTop="1" thickBot="1">
      <c r="A43" s="1601"/>
      <c r="B43" s="1329" t="s">
        <v>4162</v>
      </c>
      <c r="C43" s="1336">
        <v>2024</v>
      </c>
      <c r="D43" s="1335">
        <v>44</v>
      </c>
      <c r="E43" s="1335">
        <v>45.832999999999998</v>
      </c>
      <c r="F43" s="1335">
        <v>780</v>
      </c>
      <c r="G43" s="1351">
        <v>1282.0509999999999</v>
      </c>
      <c r="H43" s="1335">
        <v>12.222</v>
      </c>
      <c r="I43" s="1335">
        <v>12.731</v>
      </c>
      <c r="J43" s="1335">
        <v>9.5329999999999995</v>
      </c>
      <c r="K43" s="1335">
        <v>9.9309999999999992</v>
      </c>
    </row>
    <row r="44" spans="1:11" ht="16.5" thickTop="1" thickBot="1">
      <c r="A44" s="1601"/>
      <c r="B44" s="1329" t="s">
        <v>4117</v>
      </c>
      <c r="C44" s="1336">
        <v>2024</v>
      </c>
      <c r="D44" s="1335">
        <v>26.8</v>
      </c>
      <c r="E44" s="1335">
        <v>29.7</v>
      </c>
      <c r="F44" s="1335">
        <v>794</v>
      </c>
      <c r="G44" s="1351">
        <v>1259.4459999999999</v>
      </c>
      <c r="H44" s="1335">
        <v>7.444</v>
      </c>
      <c r="I44" s="1335">
        <v>8.25</v>
      </c>
      <c r="J44" s="1335">
        <v>5.9109999999999996</v>
      </c>
      <c r="K44" s="1335">
        <v>6.5510000000000002</v>
      </c>
    </row>
    <row r="45" spans="1:11" ht="16.5" thickTop="1" thickBot="1">
      <c r="A45" s="1601"/>
      <c r="B45" s="1329" t="s">
        <v>4163</v>
      </c>
      <c r="C45" s="1336">
        <v>2024</v>
      </c>
      <c r="D45" s="1335">
        <v>36.299999999999997</v>
      </c>
      <c r="E45" s="1335">
        <v>39.628999999999998</v>
      </c>
      <c r="F45" s="1335">
        <v>750</v>
      </c>
      <c r="G45" s="1351">
        <v>1333.3330000000001</v>
      </c>
      <c r="H45" s="1335">
        <v>10.083</v>
      </c>
      <c r="I45" s="1335">
        <v>11.007999999999999</v>
      </c>
      <c r="J45" s="1335">
        <v>7.5629999999999997</v>
      </c>
      <c r="K45" s="1335">
        <v>8.2560000000000002</v>
      </c>
    </row>
    <row r="46" spans="1:11" ht="16.5" thickTop="1" thickBot="1">
      <c r="A46" s="1601"/>
      <c r="B46" s="1329" t="s">
        <v>4134</v>
      </c>
      <c r="C46" s="1336">
        <v>2024</v>
      </c>
      <c r="D46" s="1335">
        <v>20</v>
      </c>
      <c r="E46" s="1335">
        <v>21.978000000000002</v>
      </c>
      <c r="F46" s="1335">
        <v>1.1499999999999999</v>
      </c>
      <c r="G46" s="1351">
        <v>869565.21699999995</v>
      </c>
      <c r="H46" s="1335">
        <v>5.556</v>
      </c>
      <c r="I46" s="1335">
        <v>6.1050000000000004</v>
      </c>
      <c r="J46" s="1335">
        <v>6.0000000000000001E-3</v>
      </c>
      <c r="K46" s="1335">
        <v>7.0000000000000001E-3</v>
      </c>
    </row>
    <row r="47" spans="1:11" ht="16.5" thickTop="1" thickBot="1">
      <c r="A47" s="1601"/>
      <c r="B47" s="1329" t="s">
        <v>4164</v>
      </c>
      <c r="C47" s="1336">
        <v>2024</v>
      </c>
      <c r="D47" s="1335">
        <v>49</v>
      </c>
      <c r="E47" s="1335">
        <v>54.298000000000002</v>
      </c>
      <c r="F47" s="1335">
        <v>0.72499999999999998</v>
      </c>
      <c r="G47" s="1351">
        <v>1379355.673</v>
      </c>
      <c r="H47" s="1335">
        <v>13.611000000000001</v>
      </c>
      <c r="I47" s="1335">
        <v>15.083</v>
      </c>
      <c r="J47" s="1335">
        <v>0.01</v>
      </c>
      <c r="K47" s="1335">
        <v>1.0999999999999999E-2</v>
      </c>
    </row>
    <row r="48" spans="1:11" ht="16.5" thickTop="1" thickBot="1">
      <c r="A48" s="1601"/>
      <c r="B48" s="1329" t="s">
        <v>254</v>
      </c>
      <c r="C48" s="1336">
        <v>2024</v>
      </c>
      <c r="D48" s="1335">
        <v>45.627000000000002</v>
      </c>
      <c r="E48" s="1335">
        <v>50.552</v>
      </c>
      <c r="F48" s="1335">
        <v>175</v>
      </c>
      <c r="G48" s="1351">
        <v>5714.2860000000001</v>
      </c>
      <c r="H48" s="1335">
        <v>12.673999999999999</v>
      </c>
      <c r="I48" s="1335">
        <v>14.042</v>
      </c>
      <c r="J48" s="1335">
        <v>2.218</v>
      </c>
      <c r="K48" s="1335">
        <v>2.4569999999999999</v>
      </c>
    </row>
    <row r="49" spans="1:11" ht="16.5" thickTop="1" thickBot="1">
      <c r="A49" s="1601"/>
      <c r="B49" s="1329" t="s">
        <v>4165</v>
      </c>
      <c r="C49" s="1336">
        <v>2024</v>
      </c>
      <c r="D49" s="1335">
        <v>13.468</v>
      </c>
      <c r="E49" s="1335">
        <v>15.845000000000001</v>
      </c>
      <c r="F49" s="1335">
        <v>160</v>
      </c>
      <c r="G49" s="1351">
        <v>6250</v>
      </c>
      <c r="H49" s="1335">
        <v>3.7410000000000001</v>
      </c>
      <c r="I49" s="1335">
        <v>4.4009999999999998</v>
      </c>
      <c r="J49" s="1338"/>
      <c r="K49" s="1338"/>
    </row>
    <row r="50" spans="1:11" ht="16.5" thickTop="1" thickBot="1">
      <c r="A50" s="1601"/>
      <c r="B50" s="1329" t="s">
        <v>4166</v>
      </c>
      <c r="C50" s="1336">
        <v>2024</v>
      </c>
      <c r="D50" s="1335">
        <v>12.3</v>
      </c>
      <c r="E50" s="1335">
        <v>13.516</v>
      </c>
      <c r="F50" s="1335">
        <v>1.3</v>
      </c>
      <c r="G50" s="1351">
        <v>769230.76899999997</v>
      </c>
      <c r="H50" s="1335">
        <v>3.4169999999999998</v>
      </c>
      <c r="I50" s="1335">
        <v>3.7549999999999999</v>
      </c>
      <c r="J50" s="1335">
        <v>4.0000000000000001E-3</v>
      </c>
      <c r="K50" s="1335">
        <v>5.0000000000000001E-3</v>
      </c>
    </row>
    <row r="51" spans="1:11" ht="16.5" thickTop="1" thickBot="1">
      <c r="A51" s="1601"/>
      <c r="B51" s="1329" t="s">
        <v>4031</v>
      </c>
      <c r="C51" s="1336">
        <v>2024</v>
      </c>
      <c r="D51" s="1335">
        <v>45.627000000000002</v>
      </c>
      <c r="E51" s="1335">
        <v>50.552</v>
      </c>
      <c r="F51" s="1335">
        <v>452.48899999999998</v>
      </c>
      <c r="G51" s="1351">
        <v>2210</v>
      </c>
      <c r="H51" s="1335">
        <v>12.673999999999999</v>
      </c>
      <c r="I51" s="1335">
        <v>14.042</v>
      </c>
      <c r="J51" s="1335">
        <v>5.7350000000000003</v>
      </c>
      <c r="K51" s="1335">
        <v>6.3540000000000001</v>
      </c>
    </row>
    <row r="52" spans="1:11" ht="16.5" thickTop="1" thickBot="1">
      <c r="A52" s="1601"/>
      <c r="B52" s="1329" t="s">
        <v>4167</v>
      </c>
      <c r="C52" s="1336">
        <v>2024</v>
      </c>
      <c r="D52" s="1335">
        <v>13.6</v>
      </c>
      <c r="E52" s="1335">
        <v>14.712999999999999</v>
      </c>
      <c r="F52" s="1335">
        <v>253</v>
      </c>
      <c r="G52" s="1351">
        <v>3952.569</v>
      </c>
      <c r="H52" s="1335">
        <v>3.778</v>
      </c>
      <c r="I52" s="1335">
        <v>4.0869999999999997</v>
      </c>
      <c r="J52" s="1338"/>
      <c r="K52" s="1338"/>
    </row>
    <row r="53" spans="1:11" ht="16.5" thickTop="1" thickBot="1">
      <c r="A53" s="1601"/>
      <c r="B53" s="1329" t="s">
        <v>4168</v>
      </c>
      <c r="C53" s="1336">
        <v>2024</v>
      </c>
      <c r="D53" s="1335">
        <v>14.71</v>
      </c>
      <c r="E53" s="1335">
        <v>16.256</v>
      </c>
      <c r="F53" s="1335">
        <v>425</v>
      </c>
      <c r="G53" s="1351">
        <v>2352.9409999999998</v>
      </c>
      <c r="H53" s="1335">
        <v>4.0860000000000003</v>
      </c>
      <c r="I53" s="1335">
        <v>4.516</v>
      </c>
      <c r="J53" s="1338"/>
      <c r="K53" s="1338"/>
    </row>
    <row r="54" spans="1:11" ht="16.5" thickTop="1" thickBot="1">
      <c r="A54" s="1596"/>
      <c r="B54" s="1341" t="s">
        <v>4169</v>
      </c>
      <c r="C54" s="1342">
        <v>2024</v>
      </c>
      <c r="D54" s="1343">
        <v>17.28</v>
      </c>
      <c r="E54" s="1343">
        <v>18.693999999999999</v>
      </c>
      <c r="F54" s="1344">
        <v>650</v>
      </c>
      <c r="G54" s="1345">
        <v>1538.462</v>
      </c>
      <c r="H54" s="1343">
        <v>4.8</v>
      </c>
      <c r="I54" s="1343">
        <v>5.1929999999999996</v>
      </c>
      <c r="J54" s="1353"/>
      <c r="K54" s="1353"/>
    </row>
    <row r="55" spans="1:11" ht="15.75" thickTop="1" thickBot="1">
      <c r="C55" s="1354"/>
      <c r="G55" s="1355"/>
    </row>
    <row r="56" spans="1:11" ht="30.75" thickTop="1">
      <c r="B56" s="1600"/>
      <c r="C56" s="1329" t="s">
        <v>1</v>
      </c>
      <c r="D56" s="1329" t="s">
        <v>4142</v>
      </c>
      <c r="E56" s="1329" t="s">
        <v>4143</v>
      </c>
      <c r="F56" s="1329" t="s">
        <v>2901</v>
      </c>
      <c r="G56" s="1329" t="s">
        <v>4144</v>
      </c>
      <c r="H56" s="1329" t="s">
        <v>4142</v>
      </c>
      <c r="I56" s="1329" t="s">
        <v>4143</v>
      </c>
      <c r="J56" s="1329" t="s">
        <v>4142</v>
      </c>
      <c r="K56" s="1329" t="s">
        <v>4143</v>
      </c>
    </row>
    <row r="57" spans="1:11" ht="18" thickBot="1">
      <c r="B57" s="1600"/>
      <c r="C57" s="1331"/>
      <c r="D57" s="1331" t="s">
        <v>4145</v>
      </c>
      <c r="E57" s="1331" t="s">
        <v>4145</v>
      </c>
      <c r="F57" s="1331" t="s">
        <v>4159</v>
      </c>
      <c r="G57" s="1350" t="s">
        <v>4147</v>
      </c>
      <c r="H57" s="1332" t="s">
        <v>4148</v>
      </c>
      <c r="I57" s="1332" t="s">
        <v>4148</v>
      </c>
      <c r="J57" s="1332" t="s">
        <v>4149</v>
      </c>
      <c r="K57" s="1332" t="s">
        <v>4149</v>
      </c>
    </row>
    <row r="58" spans="1:11" ht="17.25" customHeight="1" thickTop="1">
      <c r="A58" s="1595" t="s">
        <v>4170</v>
      </c>
      <c r="B58" s="1329" t="s">
        <v>4171</v>
      </c>
      <c r="C58" s="1334">
        <v>2024</v>
      </c>
      <c r="D58" s="1335">
        <v>50</v>
      </c>
      <c r="E58" s="1335">
        <v>55.405999999999999</v>
      </c>
      <c r="F58" s="1335">
        <v>0.71599999999999997</v>
      </c>
      <c r="G58" s="1351">
        <v>1397112.108</v>
      </c>
      <c r="H58" s="1335">
        <v>13.888999999999999</v>
      </c>
      <c r="I58" s="1335">
        <v>15.391</v>
      </c>
      <c r="J58" s="1335">
        <v>0.01</v>
      </c>
      <c r="K58" s="1335">
        <v>1.0999999999999999E-2</v>
      </c>
    </row>
    <row r="59" spans="1:11" ht="19.5" thickBot="1">
      <c r="A59" s="1596"/>
      <c r="B59" s="1332" t="s">
        <v>4172</v>
      </c>
      <c r="C59" s="1342">
        <v>2024</v>
      </c>
      <c r="D59" s="1343">
        <v>0</v>
      </c>
      <c r="E59" s="1343">
        <v>0</v>
      </c>
      <c r="F59" s="1344">
        <v>1.964</v>
      </c>
      <c r="G59" s="1345">
        <v>509290.37800000003</v>
      </c>
      <c r="H59" s="1343">
        <v>0</v>
      </c>
      <c r="I59" s="1343">
        <v>0</v>
      </c>
      <c r="J59" s="1343">
        <v>0</v>
      </c>
      <c r="K59" s="1343">
        <v>0</v>
      </c>
    </row>
    <row r="60" spans="1:11" ht="15" thickTop="1">
      <c r="G60" s="1355"/>
    </row>
    <row r="61" spans="1:11" ht="15.75">
      <c r="A61" s="1356" t="s">
        <v>29</v>
      </c>
      <c r="C61" s="1357"/>
      <c r="D61" s="1357"/>
      <c r="E61" s="1357"/>
      <c r="F61" s="1357"/>
      <c r="G61" s="1357"/>
      <c r="H61" s="1357"/>
      <c r="I61" s="1357"/>
      <c r="J61" s="1357"/>
      <c r="K61" s="1357"/>
    </row>
    <row r="62" spans="1:11" ht="15">
      <c r="A62" s="1326" t="s">
        <v>4173</v>
      </c>
      <c r="B62" s="1326" t="s">
        <v>1740</v>
      </c>
    </row>
    <row r="63" spans="1:11">
      <c r="A63" s="1357" t="s">
        <v>4174</v>
      </c>
      <c r="B63" s="1357" t="s">
        <v>4175</v>
      </c>
    </row>
  </sheetData>
  <sheetProtection algorithmName="SHA-512" hashValue="Md/XIE1QTw9ocQbLRUQSU6DmbDdnfLvfH8sGz2ISvxRvdCT1wyw7eO5/eGNdCJO2IPN5BsovLsoPhwiKdiRYwg==" saltValue="CiSNnk82lRtRTByzufel2g==" spinCount="100000" sheet="1" objects="1" scenarios="1" selectLockedCells="1" selectUnlockedCells="1"/>
  <mergeCells count="7">
    <mergeCell ref="A58:A59"/>
    <mergeCell ref="A8:M8"/>
    <mergeCell ref="B13:B14"/>
    <mergeCell ref="A15:A38"/>
    <mergeCell ref="B40:B41"/>
    <mergeCell ref="A42:A54"/>
    <mergeCell ref="B56:B57"/>
  </mergeCells>
  <conditionalFormatting sqref="D19">
    <cfRule type="expression" dxfId="5" priority="5">
      <formula>IF(D19="",TRUE,FALSE)</formula>
    </cfRule>
  </conditionalFormatting>
  <conditionalFormatting sqref="D34:K34">
    <cfRule type="expression" dxfId="4" priority="4">
      <formula>IF(D34="",TRUE,FALSE)</formula>
    </cfRule>
  </conditionalFormatting>
  <conditionalFormatting sqref="F20:K23">
    <cfRule type="expression" dxfId="3" priority="3">
      <formula>IF(F20="",TRUE,FALSE)</formula>
    </cfRule>
  </conditionalFormatting>
  <conditionalFormatting sqref="J49:K49">
    <cfRule type="expression" dxfId="2" priority="2">
      <formula>IF(J49="",TRUE,FALSE)</formula>
    </cfRule>
  </conditionalFormatting>
  <conditionalFormatting sqref="J52:K54">
    <cfRule type="expression" dxfId="1" priority="1">
      <formula>IF(J52="",TRUE,FALSE)</formula>
    </cfRule>
  </conditionalFormatting>
  <hyperlinks>
    <hyperlink ref="A3" location="Index!A1" display="Index" xr:uid="{BC52A666-A755-4A10-A6BC-04B7667E2590}"/>
  </hyperlinks>
  <pageMargins left="0.7" right="0.7" top="0.75" bottom="0.75" header="0.3" footer="0.3"/>
  <pageSetup orientation="portrait" r:id="rId1"/>
  <headerFooter alignWithMargins="0"/>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D99CDB-69B6-4468-B809-994DC57FB817}">
  <dimension ref="B1:U120"/>
  <sheetViews>
    <sheetView workbookViewId="0">
      <selection sqref="A1:XFD1048576"/>
    </sheetView>
  </sheetViews>
  <sheetFormatPr defaultRowHeight="14.25"/>
  <cols>
    <col min="1" max="1" width="2.625" style="30" customWidth="1"/>
    <col min="2" max="2" width="9" style="30"/>
    <col min="3" max="3" width="17.75" style="30" customWidth="1"/>
    <col min="4" max="4" width="30.625" style="30" customWidth="1"/>
    <col min="5" max="6" width="9" style="30"/>
    <col min="7" max="7" width="14.5" style="30" bestFit="1" customWidth="1"/>
    <col min="8" max="8" width="16.125" style="30" customWidth="1"/>
    <col min="9" max="9" width="12.125" style="30" customWidth="1"/>
    <col min="10" max="10" width="10.375" style="30" customWidth="1"/>
    <col min="11" max="11" width="11.75" style="30" customWidth="1"/>
    <col min="12" max="12" width="12.875" style="30" customWidth="1"/>
    <col min="13" max="13" width="9" style="30"/>
    <col min="14" max="14" width="9.875" style="30" customWidth="1"/>
    <col min="15" max="15" width="9" style="30"/>
    <col min="16" max="16" width="31" style="30" bestFit="1" customWidth="1"/>
    <col min="17" max="17" width="11.5" style="30" customWidth="1"/>
    <col min="18" max="20" width="9" style="30"/>
    <col min="21" max="21" width="12.625" style="30" customWidth="1"/>
    <col min="22" max="16384" width="9" style="30"/>
  </cols>
  <sheetData>
    <row r="1" spans="2:21" ht="20.25">
      <c r="B1" s="1358" t="s">
        <v>4315</v>
      </c>
      <c r="N1" s="1358" t="s">
        <v>4316</v>
      </c>
    </row>
    <row r="2" spans="2:21" ht="51">
      <c r="B2" s="1359" t="s">
        <v>1446</v>
      </c>
      <c r="C2" s="1359" t="s">
        <v>1447</v>
      </c>
      <c r="D2" s="1359" t="s">
        <v>1448</v>
      </c>
      <c r="E2" s="1359" t="s">
        <v>1449</v>
      </c>
      <c r="F2" s="1359" t="s">
        <v>1450</v>
      </c>
      <c r="G2" s="1359" t="s">
        <v>1451</v>
      </c>
      <c r="H2" s="1360" t="s">
        <v>1453</v>
      </c>
      <c r="I2" s="1360" t="s">
        <v>1454</v>
      </c>
      <c r="J2" s="1360" t="s">
        <v>1455</v>
      </c>
      <c r="K2" s="1360" t="s">
        <v>3926</v>
      </c>
      <c r="L2" s="1360" t="s">
        <v>4320</v>
      </c>
      <c r="N2" s="1359" t="s">
        <v>1446</v>
      </c>
      <c r="O2" s="1359" t="s">
        <v>1447</v>
      </c>
      <c r="P2" s="1359" t="s">
        <v>1448</v>
      </c>
      <c r="Q2" s="1359" t="s">
        <v>1449</v>
      </c>
      <c r="R2" s="1359" t="s">
        <v>1450</v>
      </c>
      <c r="S2" s="1359" t="s">
        <v>1451</v>
      </c>
      <c r="T2" s="1360" t="s">
        <v>3926</v>
      </c>
      <c r="U2" s="1361" t="s">
        <v>1452</v>
      </c>
    </row>
    <row r="3" spans="2:21">
      <c r="B3" s="30" t="s">
        <v>4315</v>
      </c>
      <c r="C3" s="30" t="s">
        <v>4030</v>
      </c>
      <c r="D3" s="30" t="s">
        <v>2569</v>
      </c>
      <c r="E3" s="30" t="s">
        <v>1459</v>
      </c>
      <c r="F3" s="30" t="s">
        <v>1459</v>
      </c>
      <c r="G3" s="30" t="s">
        <v>237</v>
      </c>
      <c r="H3" s="1362">
        <v>0.22209999999999999</v>
      </c>
      <c r="I3" s="1362">
        <v>6.7857142857142861E-6</v>
      </c>
      <c r="J3" s="1362">
        <v>4.5283018867924531E-7</v>
      </c>
      <c r="K3" s="30">
        <v>2.5239999999999999E-2</v>
      </c>
      <c r="L3" s="1189">
        <f>H3+(I3*GWPs!$C$4)+(J3*GWPs!$C$5)</f>
        <v>0.22242583692722373</v>
      </c>
      <c r="N3" s="30" t="s">
        <v>4316</v>
      </c>
      <c r="O3" s="30" t="s">
        <v>4317</v>
      </c>
      <c r="P3" s="30" t="s">
        <v>4128</v>
      </c>
      <c r="Q3" s="30" t="s">
        <v>1459</v>
      </c>
      <c r="R3" s="30" t="s">
        <v>1459</v>
      </c>
      <c r="S3" s="30" t="s">
        <v>1718</v>
      </c>
      <c r="T3" s="30">
        <v>15.256</v>
      </c>
      <c r="U3" s="30">
        <v>0.72340000000000004</v>
      </c>
    </row>
    <row r="4" spans="2:21">
      <c r="B4" s="30" t="s">
        <v>4315</v>
      </c>
      <c r="C4" s="30" t="s">
        <v>4030</v>
      </c>
      <c r="D4" s="30" t="s">
        <v>2569</v>
      </c>
      <c r="E4" s="30" t="s">
        <v>1459</v>
      </c>
      <c r="F4" s="30" t="s">
        <v>1459</v>
      </c>
      <c r="G4" s="30" t="s">
        <v>1609</v>
      </c>
      <c r="H4" s="1362">
        <v>0.24074000000000001</v>
      </c>
      <c r="I4" s="1362">
        <v>7.1428571428571436E-6</v>
      </c>
      <c r="J4" s="1362">
        <v>4.5283018867924531E-7</v>
      </c>
      <c r="K4" s="30">
        <v>2.7359999999999999E-2</v>
      </c>
      <c r="L4" s="1189">
        <f>H4+(I4*GWPs!$C$4)+(J4*GWPs!$C$5)</f>
        <v>0.24107647978436661</v>
      </c>
      <c r="N4" s="30" t="s">
        <v>4316</v>
      </c>
      <c r="O4" s="30" t="s">
        <v>4317</v>
      </c>
      <c r="P4" s="30" t="s">
        <v>4128</v>
      </c>
      <c r="Q4" s="30" t="s">
        <v>1459</v>
      </c>
      <c r="R4" s="30" t="s">
        <v>1459</v>
      </c>
      <c r="S4" s="30" t="s">
        <v>12</v>
      </c>
      <c r="T4" s="30">
        <v>0.67052</v>
      </c>
      <c r="U4" s="30">
        <v>3.1789999999999999E-2</v>
      </c>
    </row>
    <row r="5" spans="2:21">
      <c r="B5" s="30" t="s">
        <v>4315</v>
      </c>
      <c r="C5" s="30" t="s">
        <v>4030</v>
      </c>
      <c r="D5" s="30" t="s">
        <v>2569</v>
      </c>
      <c r="E5" s="30" t="s">
        <v>1459</v>
      </c>
      <c r="F5" s="30" t="s">
        <v>1459</v>
      </c>
      <c r="G5" s="30" t="s">
        <v>241</v>
      </c>
      <c r="H5" s="1362">
        <v>1.7429600000000001</v>
      </c>
      <c r="I5" s="1362">
        <v>5.1428571428571429E-5</v>
      </c>
      <c r="J5" s="1362">
        <v>3.4716981132075472E-6</v>
      </c>
      <c r="K5" s="30">
        <v>0.19764999999999999</v>
      </c>
      <c r="L5" s="1189">
        <f>H5+(I5*GWPs!$C$4)+(J5*GWPs!$C$5)</f>
        <v>1.7454403450134772</v>
      </c>
      <c r="N5" s="30" t="s">
        <v>4316</v>
      </c>
      <c r="O5" s="30" t="s">
        <v>4317</v>
      </c>
      <c r="P5" s="30" t="s">
        <v>4128</v>
      </c>
      <c r="Q5" s="30" t="s">
        <v>1459</v>
      </c>
      <c r="R5" s="30" t="s">
        <v>1459</v>
      </c>
      <c r="S5" s="30" t="s">
        <v>241</v>
      </c>
      <c r="T5" s="30">
        <v>0.53386</v>
      </c>
      <c r="U5" s="30">
        <v>2.5309999999999999E-2</v>
      </c>
    </row>
    <row r="6" spans="2:21">
      <c r="B6" s="30" t="s">
        <v>4315</v>
      </c>
      <c r="C6" s="30" t="s">
        <v>4030</v>
      </c>
      <c r="D6" s="30" t="s">
        <v>2569</v>
      </c>
      <c r="E6" s="30" t="s">
        <v>1459</v>
      </c>
      <c r="F6" s="30" t="s">
        <v>1459</v>
      </c>
      <c r="G6" s="30" t="s">
        <v>1607</v>
      </c>
      <c r="H6" s="1362">
        <v>3029.26</v>
      </c>
      <c r="I6" s="1362">
        <v>0.09</v>
      </c>
      <c r="J6" s="1362">
        <v>6.0402641509433967E-3</v>
      </c>
      <c r="K6" s="30">
        <v>344.30946999999998</v>
      </c>
      <c r="L6" s="1189">
        <f>H6+(I6*GWPs!$C$4)+(J6*GWPs!$C$5)</f>
        <v>3033.5909921132074</v>
      </c>
      <c r="N6" s="30" t="s">
        <v>4316</v>
      </c>
      <c r="O6" s="30" t="s">
        <v>4317</v>
      </c>
      <c r="P6" s="30" t="s">
        <v>4121</v>
      </c>
      <c r="Q6" s="30" t="s">
        <v>1459</v>
      </c>
      <c r="R6" s="30" t="s">
        <v>1459</v>
      </c>
      <c r="S6" s="30" t="s">
        <v>1718</v>
      </c>
      <c r="T6" s="30">
        <v>16.445</v>
      </c>
      <c r="U6" s="30">
        <v>1.03677</v>
      </c>
    </row>
    <row r="7" spans="2:21">
      <c r="B7" s="30" t="s">
        <v>4315</v>
      </c>
      <c r="C7" s="30" t="s">
        <v>4030</v>
      </c>
      <c r="D7" s="30" t="s">
        <v>254</v>
      </c>
      <c r="E7" s="30" t="s">
        <v>1459</v>
      </c>
      <c r="F7" s="30" t="s">
        <v>1459</v>
      </c>
      <c r="G7" s="30" t="s">
        <v>237</v>
      </c>
      <c r="H7" s="1362">
        <v>0.18259</v>
      </c>
      <c r="I7" s="1362">
        <v>9.9999999999999991E-6</v>
      </c>
      <c r="J7" s="1362">
        <v>3.3962264150943401E-7</v>
      </c>
      <c r="K7" s="30">
        <v>3.789E-2</v>
      </c>
      <c r="L7" s="1189">
        <f>H7+(I7*GWPs!$C$4)+(J7*GWPs!$C$5)</f>
        <v>0.18298071698113208</v>
      </c>
      <c r="N7" s="30" t="s">
        <v>4316</v>
      </c>
      <c r="O7" s="30" t="s">
        <v>4317</v>
      </c>
      <c r="P7" s="30" t="s">
        <v>4121</v>
      </c>
      <c r="Q7" s="30" t="s">
        <v>1459</v>
      </c>
      <c r="R7" s="30" t="s">
        <v>1459</v>
      </c>
      <c r="S7" s="30" t="s">
        <v>12</v>
      </c>
      <c r="T7" s="30">
        <v>0.72358</v>
      </c>
      <c r="U7" s="30">
        <v>4.5620000000000001E-2</v>
      </c>
    </row>
    <row r="8" spans="2:21">
      <c r="B8" s="30" t="s">
        <v>4315</v>
      </c>
      <c r="C8" s="30" t="s">
        <v>4030</v>
      </c>
      <c r="D8" s="30" t="s">
        <v>254</v>
      </c>
      <c r="E8" s="30" t="s">
        <v>1459</v>
      </c>
      <c r="F8" s="30" t="s">
        <v>1459</v>
      </c>
      <c r="G8" s="30" t="s">
        <v>1609</v>
      </c>
      <c r="H8" s="1362">
        <v>0.20229</v>
      </c>
      <c r="I8" s="1362">
        <v>1.1071428571428571E-5</v>
      </c>
      <c r="J8" s="1362">
        <v>3.7735849056603777E-7</v>
      </c>
      <c r="K8" s="30">
        <v>4.1980000000000003E-2</v>
      </c>
      <c r="L8" s="1189">
        <f>H8+(I8*GWPs!$C$4)+(J8*GWPs!$C$5)</f>
        <v>0.2027229474393531</v>
      </c>
      <c r="N8" s="30" t="s">
        <v>4316</v>
      </c>
      <c r="O8" s="30" t="s">
        <v>4317</v>
      </c>
      <c r="P8" s="30" t="s">
        <v>4121</v>
      </c>
      <c r="Q8" s="30" t="s">
        <v>1459</v>
      </c>
      <c r="R8" s="30" t="s">
        <v>1459</v>
      </c>
      <c r="S8" s="30" t="s">
        <v>241</v>
      </c>
      <c r="T8" s="30">
        <v>0.56438999999999995</v>
      </c>
      <c r="U8" s="30">
        <v>3.5580000000000001E-2</v>
      </c>
    </row>
    <row r="9" spans="2:21">
      <c r="B9" s="30" t="s">
        <v>4315</v>
      </c>
      <c r="C9" s="30" t="s">
        <v>4030</v>
      </c>
      <c r="D9" s="30" t="s">
        <v>254</v>
      </c>
      <c r="E9" s="30" t="s">
        <v>1459</v>
      </c>
      <c r="F9" s="30" t="s">
        <v>1459</v>
      </c>
      <c r="G9" s="30" t="s">
        <v>241</v>
      </c>
      <c r="H9" s="1362">
        <v>0.44982</v>
      </c>
      <c r="I9" s="1362">
        <v>2.3928571428571428E-5</v>
      </c>
      <c r="J9" s="1362">
        <v>7.5471698113207555E-7</v>
      </c>
      <c r="K9" s="30">
        <v>9.289E-2</v>
      </c>
      <c r="L9" s="1189">
        <f>H9+(I9*GWPs!$C$4)+(J9*GWPs!$C$5)</f>
        <v>0.45073910916442045</v>
      </c>
      <c r="N9" s="30" t="s">
        <v>4316</v>
      </c>
      <c r="O9" s="30" t="s">
        <v>4317</v>
      </c>
      <c r="P9" s="30" t="s">
        <v>4118</v>
      </c>
      <c r="Q9" s="30" t="s">
        <v>1459</v>
      </c>
      <c r="R9" s="30" t="s">
        <v>1459</v>
      </c>
      <c r="S9" s="30" t="s">
        <v>1718</v>
      </c>
      <c r="T9" s="30">
        <v>11.933</v>
      </c>
      <c r="U9" s="30">
        <v>5.0596100000000002</v>
      </c>
    </row>
    <row r="10" spans="2:21">
      <c r="B10" s="30" t="s">
        <v>4315</v>
      </c>
      <c r="C10" s="30" t="s">
        <v>4030</v>
      </c>
      <c r="D10" s="30" t="s">
        <v>254</v>
      </c>
      <c r="E10" s="30" t="s">
        <v>1459</v>
      </c>
      <c r="F10" s="30" t="s">
        <v>1459</v>
      </c>
      <c r="G10" s="30" t="s">
        <v>1607</v>
      </c>
      <c r="H10" s="1362">
        <v>2570.42</v>
      </c>
      <c r="I10" s="1362">
        <v>0.1376</v>
      </c>
      <c r="J10" s="1362">
        <v>4.4966415094339629E-3</v>
      </c>
      <c r="K10" s="30">
        <v>530.77886999999998</v>
      </c>
      <c r="L10" s="1189">
        <f>H10+(I10*GWPs!$C$4)+(J10*GWPs!$C$5)</f>
        <v>2575.7480631320755</v>
      </c>
      <c r="N10" s="30" t="s">
        <v>4316</v>
      </c>
      <c r="O10" s="30" t="s">
        <v>4317</v>
      </c>
      <c r="P10" s="30" t="s">
        <v>4118</v>
      </c>
      <c r="Q10" s="30" t="s">
        <v>1459</v>
      </c>
      <c r="R10" s="30" t="s">
        <v>1459</v>
      </c>
      <c r="S10" s="30" t="s">
        <v>12</v>
      </c>
      <c r="T10" s="30">
        <v>0.44391000000000003</v>
      </c>
      <c r="U10" s="30">
        <v>0.18822</v>
      </c>
    </row>
    <row r="11" spans="2:21">
      <c r="B11" s="30" t="s">
        <v>4315</v>
      </c>
      <c r="C11" s="30" t="s">
        <v>4030</v>
      </c>
      <c r="D11" s="30" t="s">
        <v>4031</v>
      </c>
      <c r="E11" s="30" t="s">
        <v>1459</v>
      </c>
      <c r="F11" s="30" t="s">
        <v>1459</v>
      </c>
      <c r="G11" s="30" t="s">
        <v>237</v>
      </c>
      <c r="H11" s="1362">
        <v>0.18457000000000001</v>
      </c>
      <c r="I11" s="1362">
        <v>9.9999999999999991E-6</v>
      </c>
      <c r="J11" s="1362">
        <v>3.3962264150943401E-7</v>
      </c>
      <c r="K11" s="30">
        <v>6.5119999999999997E-2</v>
      </c>
      <c r="L11" s="1189">
        <f>H11+(I11*GWPs!$C$4)+(J11*GWPs!$C$5)</f>
        <v>0.18496071698113209</v>
      </c>
      <c r="N11" s="30" t="s">
        <v>4316</v>
      </c>
      <c r="O11" s="30" t="s">
        <v>4317</v>
      </c>
      <c r="P11" s="30" t="s">
        <v>4118</v>
      </c>
      <c r="Q11" s="30" t="s">
        <v>1459</v>
      </c>
      <c r="R11" s="30" t="s">
        <v>1459</v>
      </c>
      <c r="S11" s="30" t="s">
        <v>241</v>
      </c>
      <c r="T11" s="30">
        <v>0.39507999999999999</v>
      </c>
      <c r="U11" s="30">
        <v>0.16750999999999999</v>
      </c>
    </row>
    <row r="12" spans="2:21">
      <c r="B12" s="30" t="s">
        <v>4315</v>
      </c>
      <c r="C12" s="30" t="s">
        <v>4030</v>
      </c>
      <c r="D12" s="30" t="s">
        <v>4031</v>
      </c>
      <c r="E12" s="30" t="s">
        <v>1459</v>
      </c>
      <c r="F12" s="30" t="s">
        <v>1459</v>
      </c>
      <c r="G12" s="30" t="s">
        <v>1609</v>
      </c>
      <c r="H12" s="1362">
        <v>0.20448</v>
      </c>
      <c r="I12" s="1362">
        <v>1.1071428571428571E-5</v>
      </c>
      <c r="J12" s="1362">
        <v>3.7735849056603777E-7</v>
      </c>
      <c r="K12" s="30">
        <v>7.2139999999999996E-2</v>
      </c>
      <c r="L12" s="1189">
        <f>H12+(I12*GWPs!$C$4)+(J12*GWPs!$C$5)</f>
        <v>0.20491294743935309</v>
      </c>
      <c r="N12" s="30" t="s">
        <v>4316</v>
      </c>
      <c r="O12" s="30" t="s">
        <v>4317</v>
      </c>
      <c r="P12" s="30" t="s">
        <v>4318</v>
      </c>
      <c r="Q12" s="30" t="s">
        <v>1459</v>
      </c>
      <c r="R12" s="30" t="s">
        <v>1459</v>
      </c>
      <c r="S12" s="30" t="s">
        <v>1718</v>
      </c>
      <c r="T12" s="30">
        <v>16.07836</v>
      </c>
      <c r="U12" s="30">
        <v>5.0596100000000002</v>
      </c>
    </row>
    <row r="13" spans="2:21">
      <c r="B13" s="30" t="s">
        <v>4315</v>
      </c>
      <c r="C13" s="30" t="s">
        <v>4030</v>
      </c>
      <c r="D13" s="30" t="s">
        <v>4031</v>
      </c>
      <c r="E13" s="30" t="s">
        <v>1459</v>
      </c>
      <c r="F13" s="30" t="s">
        <v>1459</v>
      </c>
      <c r="G13" s="30" t="s">
        <v>241</v>
      </c>
      <c r="H13" s="1362">
        <v>1.1756800000000001</v>
      </c>
      <c r="I13" s="1362">
        <v>6.2500000000000001E-5</v>
      </c>
      <c r="J13" s="1362">
        <v>2.0377358490566037E-6</v>
      </c>
      <c r="K13" s="30">
        <v>0.41277000000000003</v>
      </c>
      <c r="L13" s="1189">
        <f>H13+(I13*GWPs!$C$4)+(J13*GWPs!$C$5)</f>
        <v>1.1780988018867926</v>
      </c>
      <c r="N13" s="30" t="s">
        <v>4316</v>
      </c>
      <c r="O13" s="30" t="s">
        <v>4317</v>
      </c>
      <c r="P13" s="30" t="s">
        <v>4318</v>
      </c>
      <c r="Q13" s="30" t="s">
        <v>1459</v>
      </c>
      <c r="R13" s="30" t="s">
        <v>1459</v>
      </c>
      <c r="S13" s="30" t="s">
        <v>12</v>
      </c>
      <c r="T13" s="30">
        <v>0.59811999999999999</v>
      </c>
      <c r="U13" s="30">
        <v>0.18822</v>
      </c>
    </row>
    <row r="14" spans="2:21">
      <c r="B14" s="30" t="s">
        <v>4315</v>
      </c>
      <c r="C14" s="30" t="s">
        <v>4030</v>
      </c>
      <c r="D14" s="30" t="s">
        <v>4031</v>
      </c>
      <c r="E14" s="30" t="s">
        <v>1459</v>
      </c>
      <c r="F14" s="30" t="s">
        <v>1459</v>
      </c>
      <c r="G14" s="30" t="s">
        <v>1607</v>
      </c>
      <c r="H14" s="1362">
        <v>2598.2600000000002</v>
      </c>
      <c r="I14" s="1362">
        <v>0.1376</v>
      </c>
      <c r="J14" s="1362">
        <v>4.4966415094339629E-3</v>
      </c>
      <c r="K14" s="30">
        <v>912.22816999999998</v>
      </c>
      <c r="L14" s="1189">
        <f>H14+(I14*GWPs!$C$4)+(J14*GWPs!$C$5)</f>
        <v>2603.5880631320756</v>
      </c>
      <c r="N14" s="30" t="s">
        <v>4316</v>
      </c>
      <c r="O14" s="30" t="s">
        <v>4317</v>
      </c>
      <c r="P14" s="30" t="s">
        <v>4318</v>
      </c>
      <c r="Q14" s="30" t="s">
        <v>1459</v>
      </c>
      <c r="R14" s="30" t="s">
        <v>1459</v>
      </c>
      <c r="S14" s="30" t="s">
        <v>241</v>
      </c>
      <c r="T14" s="30">
        <v>0.53232000000000002</v>
      </c>
      <c r="U14" s="30">
        <v>0.16750999999999999</v>
      </c>
    </row>
    <row r="15" spans="2:21">
      <c r="B15" s="30" t="s">
        <v>4315</v>
      </c>
      <c r="C15" s="30" t="s">
        <v>4030</v>
      </c>
      <c r="D15" s="30" t="s">
        <v>247</v>
      </c>
      <c r="E15" s="30" t="s">
        <v>1459</v>
      </c>
      <c r="F15" s="30" t="s">
        <v>1459</v>
      </c>
      <c r="G15" s="30" t="s">
        <v>237</v>
      </c>
      <c r="H15" s="1362">
        <v>0.21418999999999999</v>
      </c>
      <c r="I15" s="1362">
        <v>6.7857142857142861E-6</v>
      </c>
      <c r="J15" s="1362">
        <v>4.5283018867924531E-7</v>
      </c>
      <c r="K15" s="30">
        <v>2.5479999999999999E-2</v>
      </c>
      <c r="L15" s="1189">
        <f>H15+(I15*GWPs!$C$4)+(J15*GWPs!$C$5)</f>
        <v>0.21451583692722373</v>
      </c>
      <c r="N15" s="30" t="s">
        <v>4316</v>
      </c>
      <c r="O15" s="30" t="s">
        <v>4317</v>
      </c>
      <c r="P15" s="30" t="s">
        <v>4120</v>
      </c>
      <c r="Q15" s="30" t="s">
        <v>1459</v>
      </c>
      <c r="R15" s="30" t="s">
        <v>1459</v>
      </c>
      <c r="S15" s="30" t="s">
        <v>1718</v>
      </c>
      <c r="T15" s="30">
        <v>10.674200000000001</v>
      </c>
      <c r="U15" s="30">
        <v>5.0596100000000002</v>
      </c>
    </row>
    <row r="16" spans="2:21">
      <c r="B16" s="30" t="s">
        <v>4315</v>
      </c>
      <c r="C16" s="30" t="s">
        <v>4030</v>
      </c>
      <c r="D16" s="30" t="s">
        <v>247</v>
      </c>
      <c r="E16" s="30" t="s">
        <v>1459</v>
      </c>
      <c r="F16" s="30" t="s">
        <v>1459</v>
      </c>
      <c r="G16" s="30" t="s">
        <v>1609</v>
      </c>
      <c r="H16" s="1362">
        <v>0.22999</v>
      </c>
      <c r="I16" s="1362">
        <v>7.1428571428571436E-6</v>
      </c>
      <c r="J16" s="1362">
        <v>4.5283018867924531E-7</v>
      </c>
      <c r="K16" s="30">
        <v>2.7359999999999999E-2</v>
      </c>
      <c r="L16" s="1189">
        <f>H16+(I16*GWPs!$C$4)+(J16*GWPs!$C$5)</f>
        <v>0.2303264797843666</v>
      </c>
      <c r="N16" s="30" t="s">
        <v>4316</v>
      </c>
      <c r="O16" s="30" t="s">
        <v>4317</v>
      </c>
      <c r="P16" s="30" t="s">
        <v>4120</v>
      </c>
      <c r="Q16" s="30" t="s">
        <v>1459</v>
      </c>
      <c r="R16" s="30" t="s">
        <v>1459</v>
      </c>
      <c r="S16" s="30" t="s">
        <v>12</v>
      </c>
      <c r="T16" s="30">
        <v>0.39707999999999999</v>
      </c>
      <c r="U16" s="30">
        <v>0.18822</v>
      </c>
    </row>
    <row r="17" spans="2:21">
      <c r="B17" s="30" t="s">
        <v>4315</v>
      </c>
      <c r="C17" s="30" t="s">
        <v>4030</v>
      </c>
      <c r="D17" s="30" t="s">
        <v>247</v>
      </c>
      <c r="E17" s="30" t="s">
        <v>1459</v>
      </c>
      <c r="F17" s="30" t="s">
        <v>1459</v>
      </c>
      <c r="G17" s="30" t="s">
        <v>241</v>
      </c>
      <c r="H17" s="1362">
        <v>1.55491</v>
      </c>
      <c r="I17" s="1362">
        <v>4.8571428571428576E-5</v>
      </c>
      <c r="J17" s="1362">
        <v>3.2452830188679243E-6</v>
      </c>
      <c r="K17" s="30">
        <v>0.18551000000000001</v>
      </c>
      <c r="L17" s="1189">
        <f>H17+(I17*GWPs!$C$4)+(J17*GWPs!$C$5)</f>
        <v>1.5572433908355796</v>
      </c>
      <c r="N17" s="30" t="s">
        <v>4316</v>
      </c>
      <c r="O17" s="30" t="s">
        <v>4317</v>
      </c>
      <c r="P17" s="30" t="s">
        <v>4120</v>
      </c>
      <c r="Q17" s="30" t="s">
        <v>1459</v>
      </c>
      <c r="R17" s="30" t="s">
        <v>1459</v>
      </c>
      <c r="S17" s="30" t="s">
        <v>241</v>
      </c>
      <c r="T17" s="30">
        <v>0.35339999999999999</v>
      </c>
      <c r="U17" s="30">
        <v>0.16750999999999999</v>
      </c>
    </row>
    <row r="18" spans="2:21">
      <c r="B18" s="30" t="s">
        <v>4315</v>
      </c>
      <c r="C18" s="30" t="s">
        <v>4030</v>
      </c>
      <c r="D18" s="30" t="s">
        <v>247</v>
      </c>
      <c r="E18" s="30" t="s">
        <v>1459</v>
      </c>
      <c r="F18" s="30" t="s">
        <v>1459</v>
      </c>
      <c r="G18" s="30" t="s">
        <v>1607</v>
      </c>
      <c r="H18" s="1362">
        <v>2935.18</v>
      </c>
      <c r="I18" s="1362">
        <v>9.1199999999999989E-2</v>
      </c>
      <c r="J18" s="1362">
        <v>6.1409433962264157E-3</v>
      </c>
      <c r="K18" s="30">
        <v>349.29282000000001</v>
      </c>
      <c r="L18" s="1189">
        <f>H18+(I18*GWPs!$C$4)+(J18*GWPs!$C$5)</f>
        <v>2939.5742375471696</v>
      </c>
      <c r="N18" s="30" t="s">
        <v>4316</v>
      </c>
      <c r="O18" s="30" t="s">
        <v>4317</v>
      </c>
      <c r="P18" s="30" t="s">
        <v>4117</v>
      </c>
      <c r="Q18" s="30" t="s">
        <v>1459</v>
      </c>
      <c r="R18" s="30" t="s">
        <v>1459</v>
      </c>
      <c r="S18" s="30" t="s">
        <v>1718</v>
      </c>
      <c r="T18" s="30">
        <v>28.908999999999999</v>
      </c>
      <c r="U18" s="30">
        <v>0.42338999999999999</v>
      </c>
    </row>
    <row r="19" spans="2:21">
      <c r="B19" s="30" t="s">
        <v>4315</v>
      </c>
      <c r="C19" s="30" t="s">
        <v>4030</v>
      </c>
      <c r="D19" s="30" t="s">
        <v>10</v>
      </c>
      <c r="E19" s="30" t="s">
        <v>1459</v>
      </c>
      <c r="F19" s="30" t="s">
        <v>1459</v>
      </c>
      <c r="G19" s="30" t="s">
        <v>253</v>
      </c>
      <c r="H19" s="1362">
        <v>2.0627</v>
      </c>
      <c r="I19" s="1362">
        <v>1.0964285714285713E-4</v>
      </c>
      <c r="J19" s="1362">
        <v>3.5849056603773586E-6</v>
      </c>
      <c r="K19" s="30">
        <v>0.33660000000000001</v>
      </c>
      <c r="L19" s="1189">
        <f>H19+(I19*GWPs!$C$4)+(J19*GWPs!$C$5)</f>
        <v>2.0669460363881402</v>
      </c>
      <c r="N19" s="30" t="s">
        <v>4316</v>
      </c>
      <c r="O19" s="30" t="s">
        <v>4317</v>
      </c>
      <c r="P19" s="30" t="s">
        <v>4117</v>
      </c>
      <c r="Q19" s="30" t="s">
        <v>1459</v>
      </c>
      <c r="R19" s="30" t="s">
        <v>1459</v>
      </c>
      <c r="S19" s="30" t="s">
        <v>12</v>
      </c>
      <c r="T19" s="30">
        <v>0.77476</v>
      </c>
      <c r="U19" s="30">
        <v>1.1350000000000001E-2</v>
      </c>
    </row>
    <row r="20" spans="2:21">
      <c r="B20" s="30" t="s">
        <v>4315</v>
      </c>
      <c r="C20" s="30" t="s">
        <v>4030</v>
      </c>
      <c r="D20" s="30" t="s">
        <v>10</v>
      </c>
      <c r="E20" s="30" t="s">
        <v>1459</v>
      </c>
      <c r="F20" s="30" t="s">
        <v>1459</v>
      </c>
      <c r="G20" s="30" t="s">
        <v>237</v>
      </c>
      <c r="H20" s="1362">
        <v>0.18259</v>
      </c>
      <c r="I20" s="1362">
        <v>9.9999999999999991E-6</v>
      </c>
      <c r="J20" s="1362">
        <v>3.3962264150943401E-7</v>
      </c>
      <c r="K20" s="30">
        <v>3.0210000000000001E-2</v>
      </c>
      <c r="L20" s="1189">
        <f>H20+(I20*GWPs!$C$4)+(J20*GWPs!$C$5)</f>
        <v>0.18298071698113208</v>
      </c>
      <c r="N20" s="30" t="s">
        <v>4316</v>
      </c>
      <c r="O20" s="30" t="s">
        <v>4317</v>
      </c>
      <c r="P20" s="30" t="s">
        <v>4117</v>
      </c>
      <c r="Q20" s="30" t="s">
        <v>1459</v>
      </c>
      <c r="R20" s="30" t="s">
        <v>1459</v>
      </c>
      <c r="S20" s="30" t="s">
        <v>241</v>
      </c>
      <c r="T20" s="30">
        <v>0.61516000000000004</v>
      </c>
      <c r="U20" s="30">
        <v>9.0100000000000006E-3</v>
      </c>
    </row>
    <row r="21" spans="2:21">
      <c r="B21" s="30" t="s">
        <v>4315</v>
      </c>
      <c r="C21" s="30" t="s">
        <v>4030</v>
      </c>
      <c r="D21" s="30" t="s">
        <v>10</v>
      </c>
      <c r="E21" s="30" t="s">
        <v>1459</v>
      </c>
      <c r="F21" s="30" t="s">
        <v>1459</v>
      </c>
      <c r="G21" s="30" t="s">
        <v>1609</v>
      </c>
      <c r="H21" s="1362">
        <v>0.20229</v>
      </c>
      <c r="I21" s="1362">
        <v>1.1071428571428571E-5</v>
      </c>
      <c r="J21" s="1362">
        <v>3.7735849056603777E-7</v>
      </c>
      <c r="K21" s="30">
        <v>3.347E-2</v>
      </c>
      <c r="L21" s="1189">
        <f>H21+(I21*GWPs!$C$4)+(J21*GWPs!$C$5)</f>
        <v>0.2027229474393531</v>
      </c>
      <c r="N21" s="30" t="s">
        <v>4316</v>
      </c>
      <c r="O21" s="30" t="s">
        <v>4317</v>
      </c>
      <c r="P21" s="30" t="s">
        <v>4119</v>
      </c>
      <c r="Q21" s="30" t="s">
        <v>1459</v>
      </c>
      <c r="R21" s="30" t="s">
        <v>1459</v>
      </c>
      <c r="S21" s="30" t="s">
        <v>1718</v>
      </c>
      <c r="T21" s="30">
        <v>15.797000000000001</v>
      </c>
      <c r="U21" s="30">
        <v>0.10625</v>
      </c>
    </row>
    <row r="22" spans="2:21">
      <c r="B22" s="30" t="s">
        <v>4315</v>
      </c>
      <c r="C22" s="30" t="s">
        <v>4030</v>
      </c>
      <c r="D22" s="30" t="s">
        <v>10</v>
      </c>
      <c r="E22" s="30" t="s">
        <v>1459</v>
      </c>
      <c r="F22" s="30" t="s">
        <v>1459</v>
      </c>
      <c r="G22" s="30" t="s">
        <v>1607</v>
      </c>
      <c r="H22" s="1362">
        <v>2570.42</v>
      </c>
      <c r="I22" s="1362">
        <v>0.1376</v>
      </c>
      <c r="J22" s="1362">
        <v>4.4966415094339629E-3</v>
      </c>
      <c r="K22" s="30">
        <v>423.16368</v>
      </c>
      <c r="L22" s="1189">
        <f>H22+(I22*GWPs!$C$4)+(J22*GWPs!$C$5)</f>
        <v>2575.7480631320755</v>
      </c>
      <c r="N22" s="30" t="s">
        <v>4316</v>
      </c>
      <c r="O22" s="30" t="s">
        <v>4317</v>
      </c>
      <c r="P22" s="30" t="s">
        <v>4119</v>
      </c>
      <c r="Q22" s="30" t="s">
        <v>1459</v>
      </c>
      <c r="R22" s="30" t="s">
        <v>1459</v>
      </c>
      <c r="S22" s="30" t="s">
        <v>12</v>
      </c>
      <c r="T22" s="30">
        <v>0.77405000000000002</v>
      </c>
      <c r="U22" s="30">
        <v>5.2100000000000002E-3</v>
      </c>
    </row>
    <row r="23" spans="2:21">
      <c r="B23" s="30" t="s">
        <v>4315</v>
      </c>
      <c r="C23" s="30" t="s">
        <v>4030</v>
      </c>
      <c r="D23" s="30" t="s">
        <v>4032</v>
      </c>
      <c r="E23" s="30" t="s">
        <v>1459</v>
      </c>
      <c r="F23" s="30" t="s">
        <v>1459</v>
      </c>
      <c r="G23" s="30" t="s">
        <v>253</v>
      </c>
      <c r="H23" s="1362">
        <v>2.0850399999999998</v>
      </c>
      <c r="I23" s="1362">
        <v>1.0964285714285713E-4</v>
      </c>
      <c r="J23" s="1362">
        <v>3.5849056603773586E-6</v>
      </c>
      <c r="K23" s="30">
        <v>0.33660000000000001</v>
      </c>
      <c r="L23" s="1189">
        <f>H23+(I23*GWPs!$C$4)+(J23*GWPs!$C$5)</f>
        <v>2.08928603638814</v>
      </c>
      <c r="N23" s="30" t="s">
        <v>4316</v>
      </c>
      <c r="O23" s="30" t="s">
        <v>4317</v>
      </c>
      <c r="P23" s="30" t="s">
        <v>4119</v>
      </c>
      <c r="Q23" s="30" t="s">
        <v>1459</v>
      </c>
      <c r="R23" s="30" t="s">
        <v>1459</v>
      </c>
      <c r="S23" s="30" t="s">
        <v>241</v>
      </c>
      <c r="T23" s="30">
        <v>0</v>
      </c>
      <c r="U23" s="30">
        <v>0</v>
      </c>
    </row>
    <row r="24" spans="2:21">
      <c r="B24" s="30" t="s">
        <v>4315</v>
      </c>
      <c r="C24" s="30" t="s">
        <v>4030</v>
      </c>
      <c r="D24" s="30" t="s">
        <v>4032</v>
      </c>
      <c r="E24" s="30" t="s">
        <v>1459</v>
      </c>
      <c r="F24" s="30" t="s">
        <v>1459</v>
      </c>
      <c r="G24" s="30" t="s">
        <v>237</v>
      </c>
      <c r="H24" s="1362">
        <v>0.18457000000000001</v>
      </c>
      <c r="I24" s="1362">
        <v>9.9999999999999991E-6</v>
      </c>
      <c r="J24" s="1362">
        <v>3.3962264150943401E-7</v>
      </c>
      <c r="K24" s="30">
        <v>3.0210000000000001E-2</v>
      </c>
      <c r="L24" s="1189">
        <f>H24+(I24*GWPs!$C$4)+(J24*GWPs!$C$5)</f>
        <v>0.18496071698113209</v>
      </c>
      <c r="N24" s="30" t="s">
        <v>4316</v>
      </c>
      <c r="O24" s="30" t="s">
        <v>4317</v>
      </c>
      <c r="P24" s="30" t="s">
        <v>4126</v>
      </c>
      <c r="Q24" s="30" t="s">
        <v>1459</v>
      </c>
      <c r="R24" s="30" t="s">
        <v>1459</v>
      </c>
      <c r="S24" s="30" t="s">
        <v>1718</v>
      </c>
      <c r="T24" s="30">
        <v>23.902999999999999</v>
      </c>
      <c r="U24" s="30">
        <v>0.10625</v>
      </c>
    </row>
    <row r="25" spans="2:21">
      <c r="B25" s="30" t="s">
        <v>4315</v>
      </c>
      <c r="C25" s="30" t="s">
        <v>4030</v>
      </c>
      <c r="D25" s="30" t="s">
        <v>4032</v>
      </c>
      <c r="E25" s="30" t="s">
        <v>1459</v>
      </c>
      <c r="F25" s="30" t="s">
        <v>1459</v>
      </c>
      <c r="G25" s="30" t="s">
        <v>1609</v>
      </c>
      <c r="H25" s="1362">
        <v>0.20448</v>
      </c>
      <c r="I25" s="1362">
        <v>1.1071428571428571E-5</v>
      </c>
      <c r="J25" s="1362">
        <v>3.7735849056603777E-7</v>
      </c>
      <c r="K25" s="30">
        <v>3.347E-2</v>
      </c>
      <c r="L25" s="1189">
        <f>H25+(I25*GWPs!$C$4)+(J25*GWPs!$C$5)</f>
        <v>0.20491294743935309</v>
      </c>
      <c r="N25" s="30" t="s">
        <v>4316</v>
      </c>
      <c r="O25" s="30" t="s">
        <v>4317</v>
      </c>
      <c r="P25" s="30" t="s">
        <v>4126</v>
      </c>
      <c r="Q25" s="30" t="s">
        <v>1459</v>
      </c>
      <c r="R25" s="30" t="s">
        <v>1459</v>
      </c>
      <c r="S25" s="30" t="s">
        <v>12</v>
      </c>
      <c r="T25" s="30">
        <v>1.1712499999999999</v>
      </c>
      <c r="U25" s="30">
        <v>5.2100000000000002E-3</v>
      </c>
    </row>
    <row r="26" spans="2:21">
      <c r="B26" s="30" t="s">
        <v>4315</v>
      </c>
      <c r="C26" s="30" t="s">
        <v>4030</v>
      </c>
      <c r="D26" s="30" t="s">
        <v>4032</v>
      </c>
      <c r="E26" s="30" t="s">
        <v>1459</v>
      </c>
      <c r="F26" s="30" t="s">
        <v>1459</v>
      </c>
      <c r="G26" s="30" t="s">
        <v>1607</v>
      </c>
      <c r="H26" s="1362">
        <v>2598.2600000000002</v>
      </c>
      <c r="I26" s="1362">
        <v>0.1376</v>
      </c>
      <c r="J26" s="1362">
        <v>4.4966415094339629E-3</v>
      </c>
      <c r="K26" s="30">
        <v>423.16368</v>
      </c>
      <c r="L26" s="1189">
        <f>H26+(I26*GWPs!$C$4)+(J26*GWPs!$C$5)</f>
        <v>2603.5880631320756</v>
      </c>
      <c r="N26" s="30" t="s">
        <v>4316</v>
      </c>
      <c r="O26" s="30" t="s">
        <v>4317</v>
      </c>
      <c r="P26" s="30" t="s">
        <v>4126</v>
      </c>
      <c r="Q26" s="30" t="s">
        <v>1459</v>
      </c>
      <c r="R26" s="30" t="s">
        <v>1459</v>
      </c>
      <c r="S26" s="30" t="s">
        <v>241</v>
      </c>
      <c r="T26" s="30">
        <v>0</v>
      </c>
      <c r="U26" s="30">
        <v>0</v>
      </c>
    </row>
    <row r="27" spans="2:21">
      <c r="B27" s="30" t="s">
        <v>4315</v>
      </c>
      <c r="C27" s="30" t="s">
        <v>4030</v>
      </c>
      <c r="D27" s="30" t="s">
        <v>4033</v>
      </c>
      <c r="E27" s="30" t="s">
        <v>1459</v>
      </c>
      <c r="F27" s="30" t="s">
        <v>1459</v>
      </c>
      <c r="G27" s="30" t="s">
        <v>237</v>
      </c>
      <c r="H27" s="1362">
        <v>0.18304999999999999</v>
      </c>
      <c r="I27" s="1362">
        <v>3.2142857142857143E-6</v>
      </c>
      <c r="J27" s="1362">
        <v>3.3962264150943401E-7</v>
      </c>
      <c r="K27" s="30">
        <v>2.1530000000000001E-2</v>
      </c>
      <c r="L27" s="1189">
        <f>H27+(I27*GWPs!$C$4)+(J27*GWPs!$C$5)</f>
        <v>0.18323850269541778</v>
      </c>
      <c r="N27" s="30" t="s">
        <v>4316</v>
      </c>
      <c r="O27" s="30" t="s">
        <v>4317</v>
      </c>
      <c r="P27" s="30" t="s">
        <v>4122</v>
      </c>
      <c r="Q27" s="30" t="s">
        <v>1459</v>
      </c>
      <c r="R27" s="30" t="s">
        <v>1459</v>
      </c>
      <c r="S27" s="30" t="s">
        <v>1718</v>
      </c>
      <c r="T27" s="30">
        <v>6.6130000000000004</v>
      </c>
      <c r="U27" s="30">
        <v>8.9520000000000002E-2</v>
      </c>
    </row>
    <row r="28" spans="2:21">
      <c r="B28" s="30" t="s">
        <v>4315</v>
      </c>
      <c r="C28" s="30" t="s">
        <v>4030</v>
      </c>
      <c r="D28" s="30" t="s">
        <v>4033</v>
      </c>
      <c r="E28" s="30" t="s">
        <v>1459</v>
      </c>
      <c r="F28" s="30" t="s">
        <v>1459</v>
      </c>
      <c r="G28" s="30" t="s">
        <v>1609</v>
      </c>
      <c r="H28" s="1362">
        <v>0.19897000000000001</v>
      </c>
      <c r="I28" s="1362">
        <v>3.5714285714285718E-6</v>
      </c>
      <c r="J28" s="1362">
        <v>3.7735849056603777E-7</v>
      </c>
      <c r="K28" s="30">
        <v>2.3400000000000001E-2</v>
      </c>
      <c r="L28" s="1189">
        <f>H28+(I28*GWPs!$C$4)+(J28*GWPs!$C$5)</f>
        <v>0.19917944743935309</v>
      </c>
      <c r="N28" s="30" t="s">
        <v>4316</v>
      </c>
      <c r="O28" s="30" t="s">
        <v>4317</v>
      </c>
      <c r="P28" s="30" t="s">
        <v>4122</v>
      </c>
      <c r="Q28" s="30" t="s">
        <v>1459</v>
      </c>
      <c r="R28" s="30" t="s">
        <v>1459</v>
      </c>
      <c r="S28" s="30" t="s">
        <v>12</v>
      </c>
      <c r="T28" s="30">
        <v>0.30684</v>
      </c>
      <c r="U28" s="30">
        <v>4.15E-3</v>
      </c>
    </row>
    <row r="29" spans="2:21">
      <c r="B29" s="30" t="s">
        <v>4315</v>
      </c>
      <c r="C29" s="30" t="s">
        <v>4030</v>
      </c>
      <c r="D29" s="30" t="s">
        <v>4033</v>
      </c>
      <c r="E29" s="30" t="s">
        <v>1459</v>
      </c>
      <c r="F29" s="30" t="s">
        <v>1459</v>
      </c>
      <c r="G29" s="30" t="s">
        <v>241</v>
      </c>
      <c r="H29" s="1362">
        <v>0.94347999999999999</v>
      </c>
      <c r="I29" s="1362">
        <v>1.7142857142857142E-5</v>
      </c>
      <c r="J29" s="1362">
        <v>1.6981132075471698E-6</v>
      </c>
      <c r="K29" s="30">
        <v>0.11097</v>
      </c>
      <c r="L29" s="1189">
        <f>H29+(I29*GWPs!$C$4)+(J29*GWPs!$C$5)</f>
        <v>0.94445444204851747</v>
      </c>
      <c r="N29" s="30" t="s">
        <v>4316</v>
      </c>
      <c r="O29" s="30" t="s">
        <v>4317</v>
      </c>
      <c r="P29" s="30" t="s">
        <v>4122</v>
      </c>
      <c r="Q29" s="30" t="s">
        <v>1459</v>
      </c>
      <c r="R29" s="30" t="s">
        <v>1459</v>
      </c>
      <c r="S29" s="30" t="s">
        <v>241</v>
      </c>
      <c r="T29" s="30">
        <v>0.15751999999999999</v>
      </c>
      <c r="U29" s="30">
        <v>2.1299999999999999E-3</v>
      </c>
    </row>
    <row r="30" spans="2:21">
      <c r="B30" s="30" t="s">
        <v>4315</v>
      </c>
      <c r="C30" s="30" t="s">
        <v>4030</v>
      </c>
      <c r="D30" s="30" t="s">
        <v>4033</v>
      </c>
      <c r="E30" s="30" t="s">
        <v>1459</v>
      </c>
      <c r="F30" s="30" t="s">
        <v>1459</v>
      </c>
      <c r="G30" s="30" t="s">
        <v>1607</v>
      </c>
      <c r="H30" s="1362">
        <v>2575.6999999999998</v>
      </c>
      <c r="I30" s="1362">
        <v>4.6800000000000001E-2</v>
      </c>
      <c r="J30" s="1362">
        <v>4.6644150943396228E-3</v>
      </c>
      <c r="K30" s="30">
        <v>302.95197000000002</v>
      </c>
      <c r="L30" s="1189">
        <f>H30+(I30*GWPs!$C$4)+(J30*GWPs!$C$5)</f>
        <v>2578.3680253207544</v>
      </c>
      <c r="N30" s="30" t="s">
        <v>4316</v>
      </c>
      <c r="O30" s="30" t="s">
        <v>4317</v>
      </c>
      <c r="P30" s="30" t="s">
        <v>4123</v>
      </c>
      <c r="Q30" s="30" t="s">
        <v>1459</v>
      </c>
      <c r="R30" s="30" t="s">
        <v>1459</v>
      </c>
      <c r="S30" s="30" t="s">
        <v>1718</v>
      </c>
      <c r="T30" s="30">
        <v>23.32</v>
      </c>
      <c r="U30" s="30">
        <v>1.03677</v>
      </c>
    </row>
    <row r="31" spans="2:21">
      <c r="B31" s="30" t="s">
        <v>4315</v>
      </c>
      <c r="C31" s="30" t="s">
        <v>4030</v>
      </c>
      <c r="D31" s="30" t="s">
        <v>41</v>
      </c>
      <c r="E31" s="30" t="s">
        <v>1459</v>
      </c>
      <c r="F31" s="30" t="s">
        <v>1459</v>
      </c>
      <c r="G31" s="30" t="s">
        <v>237</v>
      </c>
      <c r="H31" s="1362">
        <v>0.21381</v>
      </c>
      <c r="I31" s="1362">
        <v>6.4285714285714286E-6</v>
      </c>
      <c r="J31" s="1362">
        <v>4.5283018867924531E-7</v>
      </c>
      <c r="K31" s="30">
        <v>2.5190000000000001E-2</v>
      </c>
      <c r="L31" s="1189">
        <f>H31+(I31*GWPs!$C$4)+(J31*GWPs!$C$5)</f>
        <v>0.21412519407008088</v>
      </c>
      <c r="N31" s="30" t="s">
        <v>4316</v>
      </c>
      <c r="O31" s="30" t="s">
        <v>4317</v>
      </c>
      <c r="P31" s="30" t="s">
        <v>4123</v>
      </c>
      <c r="Q31" s="30" t="s">
        <v>1459</v>
      </c>
      <c r="R31" s="30" t="s">
        <v>1459</v>
      </c>
      <c r="S31" s="30" t="s">
        <v>12</v>
      </c>
      <c r="T31" s="30">
        <v>1.0034000000000001</v>
      </c>
      <c r="U31" s="30">
        <v>4.4609999999999997E-2</v>
      </c>
    </row>
    <row r="32" spans="2:21">
      <c r="B32" s="30" t="s">
        <v>4315</v>
      </c>
      <c r="C32" s="30" t="s">
        <v>4030</v>
      </c>
      <c r="D32" s="30" t="s">
        <v>41</v>
      </c>
      <c r="E32" s="30" t="s">
        <v>1459</v>
      </c>
      <c r="F32" s="30" t="s">
        <v>1459</v>
      </c>
      <c r="G32" s="30" t="s">
        <v>1609</v>
      </c>
      <c r="H32" s="1362">
        <v>0.23225000000000001</v>
      </c>
      <c r="I32" s="1362">
        <v>7.1428571428571436E-6</v>
      </c>
      <c r="J32" s="1362">
        <v>4.5283018867924531E-7</v>
      </c>
      <c r="K32" s="30">
        <v>2.7359999999999999E-2</v>
      </c>
      <c r="L32" s="1189">
        <f>H32+(I32*GWPs!$C$4)+(J32*GWPs!$C$5)</f>
        <v>0.23258647978436661</v>
      </c>
      <c r="N32" s="30" t="s">
        <v>4316</v>
      </c>
      <c r="O32" s="30" t="s">
        <v>4317</v>
      </c>
      <c r="P32" s="30" t="s">
        <v>4123</v>
      </c>
      <c r="Q32" s="30" t="s">
        <v>1459</v>
      </c>
      <c r="R32" s="30" t="s">
        <v>1459</v>
      </c>
      <c r="S32" s="30" t="s">
        <v>241</v>
      </c>
      <c r="T32" s="30">
        <v>0.83338000000000001</v>
      </c>
      <c r="U32" s="30">
        <v>3.705E-2</v>
      </c>
    </row>
    <row r="33" spans="2:21">
      <c r="B33" s="30" t="s">
        <v>4315</v>
      </c>
      <c r="C33" s="30" t="s">
        <v>4030</v>
      </c>
      <c r="D33" s="30" t="s">
        <v>41</v>
      </c>
      <c r="E33" s="30" t="s">
        <v>1459</v>
      </c>
      <c r="F33" s="30" t="s">
        <v>1459</v>
      </c>
      <c r="G33" s="30" t="s">
        <v>241</v>
      </c>
      <c r="H33" s="1362">
        <v>1.5414000000000001</v>
      </c>
      <c r="I33" s="1362">
        <v>4.7500000000000003E-5</v>
      </c>
      <c r="J33" s="1362">
        <v>3.1698113207547171E-6</v>
      </c>
      <c r="K33" s="30">
        <v>0.1817</v>
      </c>
      <c r="L33" s="1189">
        <f>H33+(I33*GWPs!$C$4)+(J33*GWPs!$C$5)</f>
        <v>1.5436808584905661</v>
      </c>
      <c r="N33" s="30" t="s">
        <v>4316</v>
      </c>
      <c r="O33" s="30" t="s">
        <v>4317</v>
      </c>
      <c r="P33" s="30" t="s">
        <v>4124</v>
      </c>
      <c r="Q33" s="30" t="s">
        <v>1459</v>
      </c>
      <c r="R33" s="30" t="s">
        <v>1459</v>
      </c>
      <c r="S33" s="30" t="s">
        <v>1718</v>
      </c>
      <c r="T33" s="30">
        <v>23.097000000000001</v>
      </c>
      <c r="U33" s="30">
        <v>0.42338999999999999</v>
      </c>
    </row>
    <row r="34" spans="2:21">
      <c r="B34" s="30" t="s">
        <v>4315</v>
      </c>
      <c r="C34" s="30" t="s">
        <v>4030</v>
      </c>
      <c r="D34" s="30" t="s">
        <v>41</v>
      </c>
      <c r="E34" s="30" t="s">
        <v>1459</v>
      </c>
      <c r="F34" s="30" t="s">
        <v>1459</v>
      </c>
      <c r="G34" s="30" t="s">
        <v>1607</v>
      </c>
      <c r="H34" s="1362">
        <v>2993.4</v>
      </c>
      <c r="I34" s="1362">
        <v>9.240000000000001E-2</v>
      </c>
      <c r="J34" s="1362">
        <v>6.2080377358490566E-3</v>
      </c>
      <c r="K34" s="30">
        <v>352.67018000000002</v>
      </c>
      <c r="L34" s="1189">
        <f>H34+(I34*GWPs!$C$4)+(J34*GWPs!$C$5)</f>
        <v>2997.8483143018871</v>
      </c>
      <c r="N34" s="30" t="s">
        <v>4316</v>
      </c>
      <c r="O34" s="30" t="s">
        <v>4317</v>
      </c>
      <c r="P34" s="30" t="s">
        <v>4124</v>
      </c>
      <c r="Q34" s="30" t="s">
        <v>1459</v>
      </c>
      <c r="R34" s="30" t="s">
        <v>1459</v>
      </c>
      <c r="S34" s="30" t="s">
        <v>12</v>
      </c>
      <c r="T34" s="30">
        <v>1.03129</v>
      </c>
      <c r="U34" s="30">
        <v>1.89E-2</v>
      </c>
    </row>
    <row r="35" spans="2:21">
      <c r="B35" s="30" t="s">
        <v>4315</v>
      </c>
      <c r="C35" s="30" t="s">
        <v>4034</v>
      </c>
      <c r="D35" s="30" t="s">
        <v>240</v>
      </c>
      <c r="E35" s="30" t="s">
        <v>1459</v>
      </c>
      <c r="F35" s="30" t="s">
        <v>1459</v>
      </c>
      <c r="G35" s="30" t="s">
        <v>237</v>
      </c>
      <c r="H35" s="1362">
        <v>0.23877999999999999</v>
      </c>
      <c r="I35" s="1362">
        <v>1.075E-4</v>
      </c>
      <c r="J35" s="1362">
        <v>7.6603773584905665E-6</v>
      </c>
      <c r="K35" s="30">
        <v>6.2530000000000002E-2</v>
      </c>
      <c r="L35" s="1189">
        <f>H35+(I35*GWPs!$C$4)+(J35*GWPs!$C$5)</f>
        <v>0.24407478301886792</v>
      </c>
      <c r="N35" s="30" t="s">
        <v>4316</v>
      </c>
      <c r="O35" s="30" t="s">
        <v>4317</v>
      </c>
      <c r="P35" s="30" t="s">
        <v>4124</v>
      </c>
      <c r="Q35" s="30" t="s">
        <v>1459</v>
      </c>
      <c r="R35" s="30" t="s">
        <v>1459</v>
      </c>
      <c r="S35" s="30" t="s">
        <v>241</v>
      </c>
      <c r="T35" s="30">
        <v>0.76505000000000001</v>
      </c>
      <c r="U35" s="30">
        <v>1.4019999999999999E-2</v>
      </c>
    </row>
    <row r="36" spans="2:21">
      <c r="B36" s="30" t="s">
        <v>4315</v>
      </c>
      <c r="C36" s="30" t="s">
        <v>4034</v>
      </c>
      <c r="D36" s="30" t="s">
        <v>240</v>
      </c>
      <c r="E36" s="30" t="s">
        <v>1459</v>
      </c>
      <c r="F36" s="30" t="s">
        <v>1459</v>
      </c>
      <c r="G36" s="30" t="s">
        <v>1609</v>
      </c>
      <c r="H36" s="1362">
        <v>0.25135000000000002</v>
      </c>
      <c r="I36" s="1362">
        <v>1.1357142857142858E-4</v>
      </c>
      <c r="J36" s="1362">
        <v>8.0377358490566039E-6</v>
      </c>
      <c r="K36" s="30">
        <v>6.5820000000000004E-2</v>
      </c>
      <c r="L36" s="1189">
        <f>H36+(I36*GWPs!$C$4)+(J36*GWPs!$C$5)</f>
        <v>0.25692873045822101</v>
      </c>
      <c r="N36" s="30" t="s">
        <v>4316</v>
      </c>
      <c r="O36" s="30" t="s">
        <v>4317</v>
      </c>
      <c r="P36" s="30" t="s">
        <v>4127</v>
      </c>
      <c r="Q36" s="30" t="s">
        <v>1459</v>
      </c>
      <c r="R36" s="30" t="s">
        <v>1459</v>
      </c>
      <c r="S36" s="30" t="s">
        <v>1718</v>
      </c>
      <c r="T36" s="30">
        <v>37.597000000000001</v>
      </c>
      <c r="U36" s="30">
        <v>0.42338999999999999</v>
      </c>
    </row>
    <row r="37" spans="2:21">
      <c r="B37" s="30" t="s">
        <v>4315</v>
      </c>
      <c r="C37" s="30" t="s">
        <v>4034</v>
      </c>
      <c r="D37" s="30" t="s">
        <v>240</v>
      </c>
      <c r="E37" s="30" t="s">
        <v>1459</v>
      </c>
      <c r="F37" s="30" t="s">
        <v>1459</v>
      </c>
      <c r="G37" s="30" t="s">
        <v>241</v>
      </c>
      <c r="H37" s="1362">
        <v>2.2829700000000002</v>
      </c>
      <c r="I37" s="1362">
        <v>1.030357142857143E-3</v>
      </c>
      <c r="J37" s="1362">
        <v>7.2981132075471692E-5</v>
      </c>
      <c r="K37" s="30">
        <v>0.61424999999999996</v>
      </c>
      <c r="L37" s="1189">
        <f>H37+(I37*GWPs!$C$4)+(J37*GWPs!$C$5)</f>
        <v>2.3335984919137465</v>
      </c>
      <c r="N37" s="30" t="s">
        <v>4316</v>
      </c>
      <c r="O37" s="30" t="s">
        <v>4317</v>
      </c>
      <c r="P37" s="30" t="s">
        <v>4127</v>
      </c>
      <c r="Q37" s="30" t="s">
        <v>1459</v>
      </c>
      <c r="R37" s="30" t="s">
        <v>1459</v>
      </c>
      <c r="S37" s="30" t="s">
        <v>12</v>
      </c>
      <c r="T37" s="30">
        <v>0.74922999999999995</v>
      </c>
      <c r="U37" s="30">
        <v>8.4399999999999996E-3</v>
      </c>
    </row>
    <row r="38" spans="2:21">
      <c r="B38" s="30" t="s">
        <v>4315</v>
      </c>
      <c r="C38" s="30" t="s">
        <v>4034</v>
      </c>
      <c r="D38" s="30" t="s">
        <v>240</v>
      </c>
      <c r="E38" s="30" t="s">
        <v>1459</v>
      </c>
      <c r="F38" s="30" t="s">
        <v>1459</v>
      </c>
      <c r="G38" s="30" t="s">
        <v>1607</v>
      </c>
      <c r="H38" s="1362">
        <v>3127.67</v>
      </c>
      <c r="I38" s="1362">
        <v>1.4116</v>
      </c>
      <c r="J38" s="1362">
        <v>0.1</v>
      </c>
      <c r="K38" s="30">
        <v>813.26356999999996</v>
      </c>
      <c r="L38" s="1189">
        <f>H38+(I38*GWPs!$C$4)+(J38*GWPs!$C$5)</f>
        <v>3197.0356800000004</v>
      </c>
      <c r="N38" s="30" t="s">
        <v>4316</v>
      </c>
      <c r="O38" s="30" t="s">
        <v>4317</v>
      </c>
      <c r="P38" s="30" t="s">
        <v>4127</v>
      </c>
      <c r="Q38" s="30" t="s">
        <v>1459</v>
      </c>
      <c r="R38" s="30" t="s">
        <v>1459</v>
      </c>
      <c r="S38" s="30" t="s">
        <v>241</v>
      </c>
      <c r="T38" s="30">
        <v>0.59414</v>
      </c>
      <c r="U38" s="30">
        <v>6.6899999999999998E-3</v>
      </c>
    </row>
    <row r="39" spans="2:21">
      <c r="B39" s="30" t="s">
        <v>4315</v>
      </c>
      <c r="C39" s="30" t="s">
        <v>4034</v>
      </c>
      <c r="D39" s="30" t="s">
        <v>243</v>
      </c>
      <c r="E39" s="30" t="s">
        <v>1459</v>
      </c>
      <c r="F39" s="30" t="s">
        <v>1459</v>
      </c>
      <c r="G39" s="30" t="s">
        <v>237</v>
      </c>
      <c r="H39" s="1362">
        <v>0.24535000000000001</v>
      </c>
      <c r="I39" s="1362">
        <v>6.071428571428572E-6</v>
      </c>
      <c r="J39" s="1362">
        <v>7.7735849056603776E-6</v>
      </c>
      <c r="K39" s="30">
        <v>5.1529999999999999E-2</v>
      </c>
      <c r="L39" s="1189">
        <f>H39+(I39*GWPs!$C$4)+(J39*GWPs!$C$5)</f>
        <v>0.24765311725067388</v>
      </c>
      <c r="N39" s="30" t="s">
        <v>4316</v>
      </c>
      <c r="O39" s="30" t="s">
        <v>4317</v>
      </c>
      <c r="P39" s="30" t="s">
        <v>4125</v>
      </c>
      <c r="Q39" s="30" t="s">
        <v>1459</v>
      </c>
      <c r="R39" s="30" t="s">
        <v>1459</v>
      </c>
      <c r="S39" s="30" t="s">
        <v>1718</v>
      </c>
      <c r="T39" s="30">
        <v>11.933</v>
      </c>
      <c r="U39" s="30">
        <v>5.0596100000000002</v>
      </c>
    </row>
    <row r="40" spans="2:21">
      <c r="B40" s="30" t="s">
        <v>4315</v>
      </c>
      <c r="C40" s="30" t="s">
        <v>4034</v>
      </c>
      <c r="D40" s="30" t="s">
        <v>243</v>
      </c>
      <c r="E40" s="30" t="s">
        <v>1459</v>
      </c>
      <c r="F40" s="30" t="s">
        <v>1459</v>
      </c>
      <c r="G40" s="30" t="s">
        <v>1609</v>
      </c>
      <c r="H40" s="1362">
        <v>0.25825999999999999</v>
      </c>
      <c r="I40" s="1362">
        <v>6.4285714285714286E-6</v>
      </c>
      <c r="J40" s="1362">
        <v>8.1886792452830192E-6</v>
      </c>
      <c r="K40" s="30">
        <v>5.4239999999999997E-2</v>
      </c>
      <c r="L40" s="1189">
        <f>H40+(I40*GWPs!$C$4)+(J40*GWPs!$C$5)</f>
        <v>0.26068708086253367</v>
      </c>
      <c r="N40" s="30" t="s">
        <v>4316</v>
      </c>
      <c r="O40" s="30" t="s">
        <v>4317</v>
      </c>
      <c r="P40" s="30" t="s">
        <v>4125</v>
      </c>
      <c r="Q40" s="30" t="s">
        <v>1459</v>
      </c>
      <c r="R40" s="30" t="s">
        <v>1459</v>
      </c>
      <c r="S40" s="30" t="s">
        <v>12</v>
      </c>
      <c r="T40" s="30">
        <v>0.44391000000000003</v>
      </c>
      <c r="U40" s="30">
        <v>0.18822</v>
      </c>
    </row>
    <row r="41" spans="2:21">
      <c r="B41" s="30" t="s">
        <v>4315</v>
      </c>
      <c r="C41" s="30" t="s">
        <v>4034</v>
      </c>
      <c r="D41" s="30" t="s">
        <v>243</v>
      </c>
      <c r="E41" s="30" t="s">
        <v>1459</v>
      </c>
      <c r="F41" s="30" t="s">
        <v>1459</v>
      </c>
      <c r="G41" s="30" t="s">
        <v>241</v>
      </c>
      <c r="H41" s="1362">
        <v>2.51973</v>
      </c>
      <c r="I41" s="1362">
        <v>6.2857142857142861E-5</v>
      </c>
      <c r="J41" s="1362">
        <v>8.0000000000000007E-5</v>
      </c>
      <c r="K41" s="30">
        <v>0.52817000000000003</v>
      </c>
      <c r="L41" s="1189">
        <f>H41+(I41*GWPs!$C$4)+(J41*GWPs!$C$5)</f>
        <v>2.5434431428571429</v>
      </c>
      <c r="N41" s="30" t="s">
        <v>4316</v>
      </c>
      <c r="O41" s="30" t="s">
        <v>4317</v>
      </c>
      <c r="P41" s="30" t="s">
        <v>4125</v>
      </c>
      <c r="Q41" s="30" t="s">
        <v>1459</v>
      </c>
      <c r="R41" s="30" t="s">
        <v>1459</v>
      </c>
      <c r="S41" s="30" t="s">
        <v>241</v>
      </c>
      <c r="T41" s="30">
        <v>0.39507999999999999</v>
      </c>
      <c r="U41" s="30">
        <v>0.16750999999999999</v>
      </c>
    </row>
    <row r="42" spans="2:21">
      <c r="B42" s="30" t="s">
        <v>4315</v>
      </c>
      <c r="C42" s="30" t="s">
        <v>4034</v>
      </c>
      <c r="D42" s="30" t="s">
        <v>243</v>
      </c>
      <c r="E42" s="30" t="s">
        <v>1459</v>
      </c>
      <c r="F42" s="30" t="s">
        <v>1459</v>
      </c>
      <c r="G42" s="30" t="s">
        <v>1607</v>
      </c>
      <c r="H42" s="1362">
        <v>3149.67</v>
      </c>
      <c r="I42" s="1362">
        <v>7.8399999999999997E-2</v>
      </c>
      <c r="J42" s="1362">
        <v>0.1</v>
      </c>
      <c r="K42" s="30">
        <v>661.79467999999997</v>
      </c>
      <c r="L42" s="1189">
        <f>H42+(I42*GWPs!$C$4)+(J42*GWPs!$C$5)</f>
        <v>3179.3063200000001</v>
      </c>
      <c r="N42" s="30" t="s">
        <v>4316</v>
      </c>
      <c r="O42" s="30" t="s">
        <v>4134</v>
      </c>
      <c r="P42" s="30" t="s">
        <v>4134</v>
      </c>
      <c r="Q42" s="30" t="s">
        <v>1459</v>
      </c>
      <c r="R42" s="30" t="s">
        <v>1459</v>
      </c>
      <c r="S42" s="30" t="s">
        <v>1719</v>
      </c>
      <c r="T42" s="30">
        <v>1.8509999999999999E-2</v>
      </c>
      <c r="U42" s="30">
        <v>2.2000000000000001E-4</v>
      </c>
    </row>
    <row r="43" spans="2:21">
      <c r="B43" s="30" t="s">
        <v>4315</v>
      </c>
      <c r="C43" s="30" t="s">
        <v>4034</v>
      </c>
      <c r="D43" s="30" t="s">
        <v>4035</v>
      </c>
      <c r="E43" s="30" t="s">
        <v>1459</v>
      </c>
      <c r="F43" s="30" t="s">
        <v>1459</v>
      </c>
      <c r="G43" s="30" t="s">
        <v>237</v>
      </c>
      <c r="H43" s="1362">
        <v>0.24557000000000001</v>
      </c>
      <c r="I43" s="1362">
        <v>2.3571428571428571E-5</v>
      </c>
      <c r="J43" s="1362">
        <v>2.0377358490566037E-6</v>
      </c>
      <c r="K43" s="30">
        <v>5.1529999999999999E-2</v>
      </c>
      <c r="L43" s="1189">
        <f>H43+(I43*GWPs!$C$4)+(J43*GWPs!$C$5)</f>
        <v>0.24682873045822104</v>
      </c>
      <c r="N43" s="30" t="s">
        <v>4316</v>
      </c>
      <c r="O43" s="30" t="s">
        <v>4134</v>
      </c>
      <c r="P43" s="30" t="s">
        <v>4134</v>
      </c>
      <c r="Q43" s="30" t="s">
        <v>1459</v>
      </c>
      <c r="R43" s="30" t="s">
        <v>1459</v>
      </c>
      <c r="S43" s="30" t="s">
        <v>1607</v>
      </c>
      <c r="T43" s="30">
        <v>102.85714</v>
      </c>
      <c r="U43" s="30">
        <v>1.2431399999999999</v>
      </c>
    </row>
    <row r="44" spans="2:21">
      <c r="B44" s="30" t="s">
        <v>4315</v>
      </c>
      <c r="C44" s="30" t="s">
        <v>4034</v>
      </c>
      <c r="D44" s="30" t="s">
        <v>4035</v>
      </c>
      <c r="E44" s="30" t="s">
        <v>1459</v>
      </c>
      <c r="F44" s="30" t="s">
        <v>1459</v>
      </c>
      <c r="G44" s="30" t="s">
        <v>1609</v>
      </c>
      <c r="H44" s="1362">
        <v>0.25849</v>
      </c>
      <c r="I44" s="1362">
        <v>2.4642857142857141E-5</v>
      </c>
      <c r="J44" s="1362">
        <v>2.1509433962264152E-6</v>
      </c>
      <c r="K44" s="30">
        <v>5.4239999999999997E-2</v>
      </c>
      <c r="L44" s="1189">
        <f>H44+(I44*GWPs!$C$4)+(J44*GWPs!$C$5)</f>
        <v>0.25981156469002692</v>
      </c>
      <c r="N44" s="30" t="s">
        <v>4316</v>
      </c>
      <c r="O44" s="30" t="s">
        <v>4134</v>
      </c>
      <c r="P44" s="30" t="s">
        <v>4135</v>
      </c>
      <c r="Q44" s="30" t="s">
        <v>1459</v>
      </c>
      <c r="R44" s="30" t="s">
        <v>1459</v>
      </c>
      <c r="S44" s="30" t="s">
        <v>1719</v>
      </c>
      <c r="T44" s="30">
        <v>0</v>
      </c>
      <c r="U44" s="30">
        <v>2.0000000000000001E-4</v>
      </c>
    </row>
    <row r="45" spans="2:21">
      <c r="B45" s="30" t="s">
        <v>4315</v>
      </c>
      <c r="C45" s="30" t="s">
        <v>4034</v>
      </c>
      <c r="D45" s="30" t="s">
        <v>4035</v>
      </c>
      <c r="E45" s="30" t="s">
        <v>1459</v>
      </c>
      <c r="F45" s="30" t="s">
        <v>1459</v>
      </c>
      <c r="G45" s="30" t="s">
        <v>241</v>
      </c>
      <c r="H45" s="1362">
        <v>2.5278200000000002</v>
      </c>
      <c r="I45" s="1362">
        <v>2.4071428571428573E-4</v>
      </c>
      <c r="J45" s="1362">
        <v>2.1094339622641511E-5</v>
      </c>
      <c r="K45" s="30">
        <v>0.53078000000000003</v>
      </c>
      <c r="L45" s="1189">
        <f>H45+(I45*GWPs!$C$4)+(J45*GWPs!$C$5)</f>
        <v>2.5407520404312671</v>
      </c>
      <c r="N45" s="30" t="s">
        <v>4316</v>
      </c>
      <c r="O45" s="30" t="s">
        <v>4134</v>
      </c>
      <c r="P45" s="30" t="s">
        <v>4135</v>
      </c>
      <c r="Q45" s="30" t="s">
        <v>1459</v>
      </c>
      <c r="R45" s="30" t="s">
        <v>1459</v>
      </c>
      <c r="S45" s="30" t="s">
        <v>1607</v>
      </c>
      <c r="T45" s="30">
        <v>0</v>
      </c>
      <c r="U45" s="30">
        <v>0.69696000000000002</v>
      </c>
    </row>
    <row r="46" spans="2:21">
      <c r="B46" s="30" t="s">
        <v>4315</v>
      </c>
      <c r="C46" s="30" t="s">
        <v>4034</v>
      </c>
      <c r="D46" s="30" t="s">
        <v>4035</v>
      </c>
      <c r="E46" s="30" t="s">
        <v>1459</v>
      </c>
      <c r="F46" s="30" t="s">
        <v>1459</v>
      </c>
      <c r="G46" s="30" t="s">
        <v>1607</v>
      </c>
      <c r="H46" s="1362">
        <v>3149.67</v>
      </c>
      <c r="I46" s="1362">
        <v>0.3</v>
      </c>
      <c r="J46" s="1362">
        <v>2.6308716981132074E-2</v>
      </c>
      <c r="K46" s="30">
        <v>660.82605000000001</v>
      </c>
      <c r="L46" s="1189">
        <f>H46+(I46*GWPs!$C$4)+(J46*GWPs!$C$5)</f>
        <v>3165.7922797358492</v>
      </c>
      <c r="N46" s="30" t="s">
        <v>4316</v>
      </c>
      <c r="O46" s="30" t="s">
        <v>4319</v>
      </c>
      <c r="P46" s="30" t="s">
        <v>4133</v>
      </c>
      <c r="Q46" s="30" t="s">
        <v>1459</v>
      </c>
      <c r="R46" s="30" t="s">
        <v>1459</v>
      </c>
      <c r="S46" s="30" t="s">
        <v>1719</v>
      </c>
      <c r="T46" s="30">
        <v>1.6039999999999999E-2</v>
      </c>
      <c r="U46" s="30">
        <v>1.273E-2</v>
      </c>
    </row>
    <row r="47" spans="2:21">
      <c r="B47" s="30" t="s">
        <v>4315</v>
      </c>
      <c r="C47" s="30" t="s">
        <v>4034</v>
      </c>
      <c r="D47" s="30" t="s">
        <v>245</v>
      </c>
      <c r="E47" s="30" t="s">
        <v>1459</v>
      </c>
      <c r="F47" s="30" t="s">
        <v>1459</v>
      </c>
      <c r="G47" s="30" t="s">
        <v>237</v>
      </c>
      <c r="H47" s="1362">
        <v>0.24887000000000001</v>
      </c>
      <c r="I47" s="1362">
        <v>7.1428571428571431E-7</v>
      </c>
      <c r="J47" s="1362">
        <v>1.1660377358490566E-5</v>
      </c>
      <c r="K47" s="30">
        <v>5.9130000000000002E-2</v>
      </c>
      <c r="L47" s="1189">
        <f>H47+(I47*GWPs!$C$4)+(J47*GWPs!$C$5)</f>
        <v>0.25207456873315365</v>
      </c>
      <c r="N47" s="30" t="s">
        <v>4316</v>
      </c>
      <c r="O47" s="30" t="s">
        <v>4319</v>
      </c>
      <c r="P47" s="30" t="s">
        <v>4133</v>
      </c>
      <c r="Q47" s="30" t="s">
        <v>1459</v>
      </c>
      <c r="R47" s="30" t="s">
        <v>1459</v>
      </c>
      <c r="S47" s="30" t="s">
        <v>1607</v>
      </c>
      <c r="T47" s="30">
        <v>68.650000000000006</v>
      </c>
      <c r="U47" s="30">
        <v>47.357089999999999</v>
      </c>
    </row>
    <row r="48" spans="2:21">
      <c r="B48" s="30" t="s">
        <v>4315</v>
      </c>
      <c r="C48" s="30" t="s">
        <v>4034</v>
      </c>
      <c r="D48" s="30" t="s">
        <v>245</v>
      </c>
      <c r="E48" s="30" t="s">
        <v>1459</v>
      </c>
      <c r="F48" s="30" t="s">
        <v>1459</v>
      </c>
      <c r="G48" s="30" t="s">
        <v>1609</v>
      </c>
      <c r="H48" s="1362">
        <v>0.26474999999999999</v>
      </c>
      <c r="I48" s="1362">
        <v>1.0714285714285714E-6</v>
      </c>
      <c r="J48" s="1362">
        <v>1.2452830188679244E-5</v>
      </c>
      <c r="K48" s="30">
        <v>6.2909999999999994E-2</v>
      </c>
      <c r="L48" s="1189">
        <f>H48+(I48*GWPs!$C$4)+(J48*GWPs!$C$5)</f>
        <v>0.26818155121293802</v>
      </c>
      <c r="N48" s="30" t="s">
        <v>4316</v>
      </c>
      <c r="O48" s="30" t="s">
        <v>4319</v>
      </c>
      <c r="P48" s="30" t="s">
        <v>4131</v>
      </c>
      <c r="Q48" s="30" t="s">
        <v>1459</v>
      </c>
      <c r="R48" s="30" t="s">
        <v>1459</v>
      </c>
      <c r="S48" s="30" t="s">
        <v>1719</v>
      </c>
      <c r="T48" s="30">
        <v>7.92E-3</v>
      </c>
      <c r="U48" s="30">
        <v>1.15E-2</v>
      </c>
    </row>
    <row r="49" spans="2:21">
      <c r="B49" s="30" t="s">
        <v>4315</v>
      </c>
      <c r="C49" s="30" t="s">
        <v>4034</v>
      </c>
      <c r="D49" s="30" t="s">
        <v>245</v>
      </c>
      <c r="E49" s="30" t="s">
        <v>1459</v>
      </c>
      <c r="F49" s="30" t="s">
        <v>1459</v>
      </c>
      <c r="G49" s="30" t="s">
        <v>241</v>
      </c>
      <c r="H49" s="1362">
        <v>2.62818</v>
      </c>
      <c r="I49" s="1362">
        <v>1.0357142857142857E-5</v>
      </c>
      <c r="J49" s="1362">
        <v>1.2483018867924528E-4</v>
      </c>
      <c r="K49" s="30">
        <v>0.62409000000000003</v>
      </c>
      <c r="L49" s="1189">
        <f>H49+(I49*GWPs!$C$4)+(J49*GWPs!$C$5)</f>
        <v>2.6625672843665771</v>
      </c>
      <c r="N49" s="30" t="s">
        <v>4316</v>
      </c>
      <c r="O49" s="30" t="s">
        <v>4319</v>
      </c>
      <c r="P49" s="30" t="s">
        <v>4131</v>
      </c>
      <c r="Q49" s="30" t="s">
        <v>1459</v>
      </c>
      <c r="R49" s="30" t="s">
        <v>1459</v>
      </c>
      <c r="S49" s="30" t="s">
        <v>1607</v>
      </c>
      <c r="T49" s="30">
        <v>30.4</v>
      </c>
      <c r="U49" s="30">
        <v>43.439639999999997</v>
      </c>
    </row>
    <row r="50" spans="2:21">
      <c r="B50" s="30" t="s">
        <v>4315</v>
      </c>
      <c r="C50" s="30" t="s">
        <v>4034</v>
      </c>
      <c r="D50" s="30" t="s">
        <v>245</v>
      </c>
      <c r="E50" s="30" t="s">
        <v>1459</v>
      </c>
      <c r="F50" s="30" t="s">
        <v>1459</v>
      </c>
      <c r="G50" s="30" t="s">
        <v>1607</v>
      </c>
      <c r="H50" s="1362">
        <v>3164.33</v>
      </c>
      <c r="I50" s="1362">
        <v>1.24E-2</v>
      </c>
      <c r="J50" s="1362">
        <v>0.14805369811320754</v>
      </c>
      <c r="K50" s="30">
        <v>752.02760000000001</v>
      </c>
      <c r="L50" s="1189">
        <f>H50+(I50*GWPs!$C$4)+(J50*GWPs!$C$5)</f>
        <v>3205.1181795849056</v>
      </c>
      <c r="N50" s="30" t="s">
        <v>4316</v>
      </c>
      <c r="O50" s="30" t="s">
        <v>4319</v>
      </c>
      <c r="P50" s="30" t="s">
        <v>4130</v>
      </c>
      <c r="Q50" s="30" t="s">
        <v>1459</v>
      </c>
      <c r="R50" s="30" t="s">
        <v>1459</v>
      </c>
      <c r="S50" s="30" t="s">
        <v>1719</v>
      </c>
      <c r="T50" s="30">
        <v>1.277E-2</v>
      </c>
      <c r="U50" s="30">
        <v>1.15E-2</v>
      </c>
    </row>
    <row r="51" spans="2:21">
      <c r="B51" s="30" t="s">
        <v>4315</v>
      </c>
      <c r="C51" s="30" t="s">
        <v>4034</v>
      </c>
      <c r="D51" s="30" t="s">
        <v>251</v>
      </c>
      <c r="E51" s="30" t="s">
        <v>1459</v>
      </c>
      <c r="F51" s="30" t="s">
        <v>1459</v>
      </c>
      <c r="G51" s="30" t="s">
        <v>237</v>
      </c>
      <c r="H51" s="1362">
        <v>0.24098</v>
      </c>
      <c r="I51" s="1362">
        <v>7.1428571428571431E-7</v>
      </c>
      <c r="J51" s="1362">
        <v>1.169811320754717E-5</v>
      </c>
      <c r="K51" s="30">
        <v>5.8160000000000003E-2</v>
      </c>
      <c r="L51" s="1189">
        <f>H51+(I51*GWPs!$C$4)+(J51*GWPs!$C$5)</f>
        <v>0.2441948706199461</v>
      </c>
      <c r="N51" s="30" t="s">
        <v>4316</v>
      </c>
      <c r="O51" s="30" t="s">
        <v>4319</v>
      </c>
      <c r="P51" s="30" t="s">
        <v>4130</v>
      </c>
      <c r="Q51" s="30" t="s">
        <v>1459</v>
      </c>
      <c r="R51" s="30" t="s">
        <v>1459</v>
      </c>
      <c r="S51" s="30" t="s">
        <v>1607</v>
      </c>
      <c r="T51" s="30">
        <v>52.14</v>
      </c>
      <c r="U51" s="30">
        <v>46.985080000000004</v>
      </c>
    </row>
    <row r="52" spans="2:21">
      <c r="B52" s="30" t="s">
        <v>4315</v>
      </c>
      <c r="C52" s="30" t="s">
        <v>4034</v>
      </c>
      <c r="D52" s="30" t="s">
        <v>251</v>
      </c>
      <c r="E52" s="30" t="s">
        <v>1459</v>
      </c>
      <c r="F52" s="30" t="s">
        <v>1459</v>
      </c>
      <c r="G52" s="30" t="s">
        <v>1609</v>
      </c>
      <c r="H52" s="1362">
        <v>0.25619999999999998</v>
      </c>
      <c r="I52" s="1362">
        <v>1.0714285714285714E-6</v>
      </c>
      <c r="J52" s="1362">
        <v>1.2452830188679244E-5</v>
      </c>
      <c r="K52" s="30">
        <v>6.1809999999999997E-2</v>
      </c>
      <c r="L52" s="1189">
        <f>H52+(I52*GWPs!$C$4)+(J52*GWPs!$C$5)</f>
        <v>0.25963155121293802</v>
      </c>
      <c r="N52" s="30" t="s">
        <v>4316</v>
      </c>
      <c r="O52" s="30" t="s">
        <v>4319</v>
      </c>
      <c r="P52" s="30" t="s">
        <v>4132</v>
      </c>
      <c r="Q52" s="30" t="s">
        <v>1459</v>
      </c>
      <c r="R52" s="30" t="s">
        <v>1459</v>
      </c>
      <c r="S52" s="30" t="s">
        <v>1719</v>
      </c>
      <c r="T52" s="30">
        <v>3.7440000000000001E-2</v>
      </c>
      <c r="U52" s="30">
        <v>1.15E-2</v>
      </c>
    </row>
    <row r="53" spans="2:21">
      <c r="B53" s="30" t="s">
        <v>4315</v>
      </c>
      <c r="C53" s="30" t="s">
        <v>4034</v>
      </c>
      <c r="D53" s="30" t="s">
        <v>251</v>
      </c>
      <c r="E53" s="30" t="s">
        <v>1459</v>
      </c>
      <c r="F53" s="30" t="s">
        <v>1459</v>
      </c>
      <c r="G53" s="30" t="s">
        <v>241</v>
      </c>
      <c r="H53" s="1362">
        <v>2.5376300000000001</v>
      </c>
      <c r="I53" s="1362">
        <v>1.0357142857142857E-5</v>
      </c>
      <c r="J53" s="1362">
        <v>1.2415094339622641E-4</v>
      </c>
      <c r="K53" s="30">
        <v>0.61101000000000005</v>
      </c>
      <c r="L53" s="1189">
        <f>H53+(I53*GWPs!$C$4)+(J53*GWPs!$C$5)</f>
        <v>2.5718318504043127</v>
      </c>
      <c r="N53" s="30" t="s">
        <v>4316</v>
      </c>
      <c r="O53" s="30" t="s">
        <v>4319</v>
      </c>
      <c r="P53" s="30" t="s">
        <v>4132</v>
      </c>
      <c r="Q53" s="30" t="s">
        <v>1459</v>
      </c>
      <c r="R53" s="30" t="s">
        <v>1459</v>
      </c>
      <c r="S53" s="30" t="s">
        <v>1607</v>
      </c>
      <c r="T53" s="30">
        <v>177</v>
      </c>
      <c r="U53" s="30">
        <v>55.193890000000003</v>
      </c>
    </row>
    <row r="54" spans="2:21">
      <c r="B54" s="30" t="s">
        <v>4315</v>
      </c>
      <c r="C54" s="30" t="s">
        <v>4034</v>
      </c>
      <c r="D54" s="30" t="s">
        <v>251</v>
      </c>
      <c r="E54" s="30" t="s">
        <v>1459</v>
      </c>
      <c r="F54" s="30" t="s">
        <v>1459</v>
      </c>
      <c r="G54" s="30" t="s">
        <v>1607</v>
      </c>
      <c r="H54" s="1362">
        <v>3048.71</v>
      </c>
      <c r="I54" s="1362">
        <v>1.24E-2</v>
      </c>
      <c r="J54" s="1362">
        <v>0.14674498113207546</v>
      </c>
      <c r="K54" s="30">
        <v>733.64436000000001</v>
      </c>
      <c r="L54" s="1189">
        <f>H54+(I54*GWPs!$C$4)+(J54*GWPs!$C$5)</f>
        <v>3089.140899849057</v>
      </c>
    </row>
    <row r="55" spans="2:21">
      <c r="B55" s="30" t="s">
        <v>4315</v>
      </c>
      <c r="C55" s="30" t="s">
        <v>4034</v>
      </c>
      <c r="D55" s="30" t="s">
        <v>246</v>
      </c>
      <c r="E55" s="30" t="s">
        <v>1459</v>
      </c>
      <c r="F55" s="30" t="s">
        <v>1459</v>
      </c>
      <c r="G55" s="30" t="s">
        <v>237</v>
      </c>
      <c r="H55" s="1362">
        <v>0.26708999999999999</v>
      </c>
      <c r="I55" s="1362">
        <v>1.6071428571428572E-5</v>
      </c>
      <c r="J55" s="1362">
        <v>2.2641509433962262E-6</v>
      </c>
      <c r="K55" s="30">
        <v>5.9130000000000002E-2</v>
      </c>
      <c r="L55" s="1189">
        <f>H55+(I55*GWPs!$C$4)+(J55*GWPs!$C$5)</f>
        <v>0.26818704177897573</v>
      </c>
    </row>
    <row r="56" spans="2:21">
      <c r="B56" s="30" t="s">
        <v>4315</v>
      </c>
      <c r="C56" s="30" t="s">
        <v>4034</v>
      </c>
      <c r="D56" s="30" t="s">
        <v>246</v>
      </c>
      <c r="E56" s="30" t="s">
        <v>1459</v>
      </c>
      <c r="F56" s="30" t="s">
        <v>1459</v>
      </c>
      <c r="G56" s="30" t="s">
        <v>1609</v>
      </c>
      <c r="H56" s="1362">
        <v>0.28412999999999999</v>
      </c>
      <c r="I56" s="1362">
        <v>1.6785714285714285E-5</v>
      </c>
      <c r="J56" s="1362">
        <v>2.3773584905660377E-6</v>
      </c>
      <c r="K56" s="30">
        <v>6.2909999999999994E-2</v>
      </c>
      <c r="L56" s="1189">
        <f>H56+(I56*GWPs!$C$4)+(J56*GWPs!$C$5)</f>
        <v>0.28527923315363879</v>
      </c>
    </row>
    <row r="57" spans="2:21">
      <c r="B57" s="30" t="s">
        <v>4315</v>
      </c>
      <c r="C57" s="30" t="s">
        <v>4034</v>
      </c>
      <c r="D57" s="30" t="s">
        <v>246</v>
      </c>
      <c r="E57" s="30" t="s">
        <v>1459</v>
      </c>
      <c r="F57" s="30" t="s">
        <v>1459</v>
      </c>
      <c r="G57" s="30" t="s">
        <v>241</v>
      </c>
      <c r="H57" s="1362">
        <v>3.16262</v>
      </c>
      <c r="I57" s="1362">
        <v>1.8928571428571429E-4</v>
      </c>
      <c r="J57" s="1362">
        <v>2.6452830188679246E-5</v>
      </c>
      <c r="K57" s="30">
        <v>0.69538999999999995</v>
      </c>
      <c r="L57" s="1189">
        <f>H57+(I57*GWPs!$C$4)+(J57*GWPs!$C$5)</f>
        <v>3.1754823369272236</v>
      </c>
    </row>
    <row r="58" spans="2:21">
      <c r="B58" s="30" t="s">
        <v>4315</v>
      </c>
      <c r="C58" s="30" t="s">
        <v>4034</v>
      </c>
      <c r="D58" s="30" t="s">
        <v>246</v>
      </c>
      <c r="E58" s="30" t="s">
        <v>1459</v>
      </c>
      <c r="F58" s="30" t="s">
        <v>1459</v>
      </c>
      <c r="G58" s="30" t="s">
        <v>1607</v>
      </c>
      <c r="H58" s="1362">
        <v>3216.38</v>
      </c>
      <c r="I58" s="1362">
        <v>0.19239999999999999</v>
      </c>
      <c r="J58" s="1362">
        <v>2.6879207547169812E-2</v>
      </c>
      <c r="K58" s="30">
        <v>714.86545000000001</v>
      </c>
      <c r="L58" s="1189">
        <f>H58+(I58*GWPs!$C$4)+(J58*GWPs!$C$5)</f>
        <v>3229.4515436603779</v>
      </c>
    </row>
    <row r="59" spans="2:21">
      <c r="B59" s="30" t="s">
        <v>4315</v>
      </c>
      <c r="C59" s="30" t="s">
        <v>4034</v>
      </c>
      <c r="D59" s="30" t="s">
        <v>4036</v>
      </c>
      <c r="E59" s="30" t="s">
        <v>1459</v>
      </c>
      <c r="F59" s="30" t="s">
        <v>1459</v>
      </c>
      <c r="G59" s="30" t="s">
        <v>237</v>
      </c>
      <c r="H59" s="1362">
        <v>0.25358999999999998</v>
      </c>
      <c r="I59" s="1362">
        <v>1.0357142857142857E-5</v>
      </c>
      <c r="J59" s="1362">
        <v>9.8490566037735838E-6</v>
      </c>
      <c r="K59" s="30">
        <v>5.9130000000000002E-2</v>
      </c>
      <c r="L59" s="1189">
        <f>H59+(I59*GWPs!$C$4)+(J59*GWPs!$C$5)</f>
        <v>0.25658743530997308</v>
      </c>
    </row>
    <row r="60" spans="2:21">
      <c r="B60" s="30" t="s">
        <v>4315</v>
      </c>
      <c r="C60" s="30" t="s">
        <v>4034</v>
      </c>
      <c r="D60" s="30" t="s">
        <v>4036</v>
      </c>
      <c r="E60" s="30" t="s">
        <v>1459</v>
      </c>
      <c r="F60" s="30" t="s">
        <v>1459</v>
      </c>
      <c r="G60" s="30" t="s">
        <v>1609</v>
      </c>
      <c r="H60" s="1362">
        <v>0.26978000000000002</v>
      </c>
      <c r="I60" s="1362">
        <v>1.1071428571428571E-5</v>
      </c>
      <c r="J60" s="1362">
        <v>1.0490566037735849E-5</v>
      </c>
      <c r="K60" s="30">
        <v>6.2909999999999994E-2</v>
      </c>
      <c r="L60" s="1189">
        <f>H60+(I60*GWPs!$C$4)+(J60*GWPs!$C$5)</f>
        <v>0.27297385309973043</v>
      </c>
    </row>
    <row r="61" spans="2:21">
      <c r="B61" s="30" t="s">
        <v>4315</v>
      </c>
      <c r="C61" s="30" t="s">
        <v>4034</v>
      </c>
      <c r="D61" s="30" t="s">
        <v>4036</v>
      </c>
      <c r="E61" s="30" t="s">
        <v>1459</v>
      </c>
      <c r="F61" s="30" t="s">
        <v>1459</v>
      </c>
      <c r="G61" s="30" t="s">
        <v>241</v>
      </c>
      <c r="H61" s="1362">
        <v>2.72417</v>
      </c>
      <c r="I61" s="1362">
        <v>1.125E-4</v>
      </c>
      <c r="J61" s="1362">
        <v>1.06E-4</v>
      </c>
      <c r="K61" s="30">
        <v>0.62665000000000004</v>
      </c>
      <c r="L61" s="1189">
        <f>H61+(I61*GWPs!$C$4)+(J61*GWPs!$C$5)</f>
        <v>2.7564605000000002</v>
      </c>
    </row>
    <row r="62" spans="2:21">
      <c r="B62" s="30" t="s">
        <v>4315</v>
      </c>
      <c r="C62" s="30" t="s">
        <v>4034</v>
      </c>
      <c r="D62" s="30" t="s">
        <v>4036</v>
      </c>
      <c r="E62" s="30" t="s">
        <v>1459</v>
      </c>
      <c r="F62" s="30" t="s">
        <v>1459</v>
      </c>
      <c r="G62" s="30" t="s">
        <v>1607</v>
      </c>
      <c r="H62" s="1362">
        <v>3190</v>
      </c>
      <c r="I62" s="1362">
        <v>0.13159999999999999</v>
      </c>
      <c r="J62" s="1362">
        <v>0.12412750943396228</v>
      </c>
      <c r="K62" s="30">
        <v>743.83524</v>
      </c>
      <c r="L62" s="1189">
        <f>H62+(I62*GWPs!$C$4)+(J62*GWPs!$C$5)</f>
        <v>3227.8084900754716</v>
      </c>
    </row>
    <row r="63" spans="2:21">
      <c r="B63" s="30" t="s">
        <v>4315</v>
      </c>
      <c r="C63" s="30" t="s">
        <v>4034</v>
      </c>
      <c r="D63" s="30" t="s">
        <v>4037</v>
      </c>
      <c r="E63" s="30" t="s">
        <v>1459</v>
      </c>
      <c r="F63" s="30" t="s">
        <v>1459</v>
      </c>
      <c r="G63" s="30" t="s">
        <v>237</v>
      </c>
      <c r="H63" s="1362">
        <v>0.26332</v>
      </c>
      <c r="I63" s="1362">
        <v>9.9999999999999991E-6</v>
      </c>
      <c r="J63" s="1362">
        <v>2.0377358490566037E-6</v>
      </c>
      <c r="K63" s="30">
        <v>9.2380000000000004E-2</v>
      </c>
      <c r="L63" s="1189">
        <f>H63+(I63*GWPs!$C$4)+(J63*GWPs!$C$5)</f>
        <v>0.26417430188679247</v>
      </c>
    </row>
    <row r="64" spans="2:21">
      <c r="B64" s="30" t="s">
        <v>4315</v>
      </c>
      <c r="C64" s="30" t="s">
        <v>4034</v>
      </c>
      <c r="D64" s="30" t="s">
        <v>4037</v>
      </c>
      <c r="E64" s="30" t="s">
        <v>1459</v>
      </c>
      <c r="F64" s="30" t="s">
        <v>1459</v>
      </c>
      <c r="G64" s="30" t="s">
        <v>1609</v>
      </c>
      <c r="H64" s="1362">
        <v>0.28012999999999999</v>
      </c>
      <c r="I64" s="1362">
        <v>1.0714285714285714E-5</v>
      </c>
      <c r="J64" s="1362">
        <v>2.1509433962264152E-6</v>
      </c>
      <c r="K64" s="30">
        <v>9.8280000000000006E-2</v>
      </c>
      <c r="L64" s="1189">
        <f>H64+(I64*GWPs!$C$4)+(J64*GWPs!$C$5)</f>
        <v>0.28103649326145547</v>
      </c>
    </row>
    <row r="65" spans="2:12">
      <c r="B65" s="30" t="s">
        <v>4315</v>
      </c>
      <c r="C65" s="30" t="s">
        <v>4034</v>
      </c>
      <c r="D65" s="30" t="s">
        <v>4037</v>
      </c>
      <c r="E65" s="30" t="s">
        <v>1459</v>
      </c>
      <c r="F65" s="30" t="s">
        <v>1459</v>
      </c>
      <c r="G65" s="30" t="s">
        <v>241</v>
      </c>
      <c r="H65" s="1362">
        <v>2.74078</v>
      </c>
      <c r="I65" s="1362">
        <v>1.0571428571428571E-4</v>
      </c>
      <c r="J65" s="1362">
        <v>2.1132075471698112E-5</v>
      </c>
      <c r="K65" s="30">
        <v>0</v>
      </c>
      <c r="L65" s="1189">
        <f>H65+(I65*GWPs!$C$4)+(J65*GWPs!$C$5)</f>
        <v>2.7496993423180593</v>
      </c>
    </row>
    <row r="66" spans="2:12">
      <c r="B66" s="30" t="s">
        <v>4315</v>
      </c>
      <c r="C66" s="30" t="s">
        <v>4034</v>
      </c>
      <c r="D66" s="30" t="s">
        <v>4037</v>
      </c>
      <c r="E66" s="30" t="s">
        <v>1459</v>
      </c>
      <c r="F66" s="30" t="s">
        <v>1459</v>
      </c>
      <c r="G66" s="30" t="s">
        <v>1607</v>
      </c>
      <c r="H66" s="1362">
        <v>3171.09</v>
      </c>
      <c r="I66" s="1362">
        <v>0.12239999999999999</v>
      </c>
      <c r="J66" s="1362">
        <v>2.446309433962264E-2</v>
      </c>
      <c r="K66" s="30">
        <v>1116.8371199999999</v>
      </c>
      <c r="L66" s="1189">
        <f>H66+(I66*GWPs!$C$4)+(J66*GWPs!$C$5)</f>
        <v>3181.4159447547172</v>
      </c>
    </row>
    <row r="67" spans="2:12">
      <c r="B67" s="30" t="s">
        <v>4315</v>
      </c>
      <c r="C67" s="30" t="s">
        <v>4034</v>
      </c>
      <c r="D67" s="30" t="s">
        <v>4046</v>
      </c>
      <c r="E67" s="30" t="s">
        <v>1459</v>
      </c>
      <c r="F67" s="30" t="s">
        <v>1459</v>
      </c>
      <c r="G67" s="30" t="s">
        <v>237</v>
      </c>
      <c r="H67" s="1362">
        <v>0.25857999999999998</v>
      </c>
      <c r="I67" s="1362">
        <v>4.2857142857142855E-6</v>
      </c>
      <c r="J67" s="1362">
        <v>1.2301886792452829E-5</v>
      </c>
      <c r="K67" s="30">
        <v>5.9130000000000002E-2</v>
      </c>
      <c r="L67" s="1189">
        <f>H67+(I67*GWPs!$C$4)+(J67*GWPs!$C$5)</f>
        <v>0.26206612938005386</v>
      </c>
    </row>
    <row r="68" spans="2:12">
      <c r="B68" s="30" t="s">
        <v>4315</v>
      </c>
      <c r="C68" s="30" t="s">
        <v>4034</v>
      </c>
      <c r="D68" s="30" t="s">
        <v>4046</v>
      </c>
      <c r="E68" s="30" t="s">
        <v>1459</v>
      </c>
      <c r="F68" s="30" t="s">
        <v>1459</v>
      </c>
      <c r="G68" s="30" t="s">
        <v>1609</v>
      </c>
      <c r="H68" s="1362">
        <v>0.27509</v>
      </c>
      <c r="I68" s="1362">
        <v>4.2857142857142855E-6</v>
      </c>
      <c r="J68" s="1362">
        <v>1.3132075471698114E-5</v>
      </c>
      <c r="K68" s="30">
        <v>6.2909999999999994E-2</v>
      </c>
      <c r="L68" s="1189">
        <f>H68+(I68*GWPs!$C$4)+(J68*GWPs!$C$5)</f>
        <v>0.27880277088948785</v>
      </c>
    </row>
    <row r="69" spans="2:12">
      <c r="B69" s="30" t="s">
        <v>4315</v>
      </c>
      <c r="C69" s="30" t="s">
        <v>4034</v>
      </c>
      <c r="D69" s="30" t="s">
        <v>4046</v>
      </c>
      <c r="E69" s="30" t="s">
        <v>1459</v>
      </c>
      <c r="F69" s="30" t="s">
        <v>1459</v>
      </c>
      <c r="G69" s="30" t="s">
        <v>241</v>
      </c>
      <c r="H69" s="1362">
        <v>3.0619399999999999</v>
      </c>
      <c r="I69" s="1362">
        <v>5.0000000000000002E-5</v>
      </c>
      <c r="J69" s="1362">
        <v>1.4596226415094338E-4</v>
      </c>
      <c r="K69" s="30">
        <v>0.69538999999999995</v>
      </c>
      <c r="L69" s="1189">
        <f>H69+(I69*GWPs!$C$4)+(J69*GWPs!$C$5)</f>
        <v>3.1032776981132075</v>
      </c>
    </row>
    <row r="70" spans="2:12">
      <c r="B70" s="30" t="s">
        <v>4315</v>
      </c>
      <c r="C70" s="30" t="s">
        <v>4034</v>
      </c>
      <c r="D70" s="30" t="s">
        <v>4046</v>
      </c>
      <c r="E70" s="30" t="s">
        <v>1459</v>
      </c>
      <c r="F70" s="30" t="s">
        <v>1459</v>
      </c>
      <c r="G70" s="30" t="s">
        <v>1607</v>
      </c>
      <c r="H70" s="1362">
        <v>3113.99</v>
      </c>
      <c r="I70" s="1362">
        <v>5.0800000000000005E-2</v>
      </c>
      <c r="J70" s="1362">
        <v>0.14845637735849057</v>
      </c>
      <c r="K70" s="30">
        <v>714.86545000000001</v>
      </c>
      <c r="L70" s="1189">
        <f>H70+(I70*GWPs!$C$4)+(J70*GWPs!$C$5)</f>
        <v>3156.032431018868</v>
      </c>
    </row>
    <row r="71" spans="2:12">
      <c r="B71" s="30" t="s">
        <v>4315</v>
      </c>
      <c r="C71" s="30" t="s">
        <v>4034</v>
      </c>
      <c r="D71" s="30" t="s">
        <v>4045</v>
      </c>
      <c r="E71" s="30" t="s">
        <v>1459</v>
      </c>
      <c r="F71" s="30" t="s">
        <v>1459</v>
      </c>
      <c r="G71" s="30" t="s">
        <v>237</v>
      </c>
      <c r="H71" s="1362">
        <v>0.25485999999999998</v>
      </c>
      <c r="I71" s="1362">
        <v>2.4999999999999998E-6</v>
      </c>
      <c r="J71" s="1362">
        <v>1.1509433962264152E-5</v>
      </c>
      <c r="K71" s="30">
        <v>5.9130000000000002E-2</v>
      </c>
      <c r="L71" s="1189">
        <f>H71+(I71*GWPs!$C$4)+(J71*GWPs!$C$5)</f>
        <v>0.25807657547169804</v>
      </c>
    </row>
    <row r="72" spans="2:12">
      <c r="B72" s="30" t="s">
        <v>4315</v>
      </c>
      <c r="C72" s="30" t="s">
        <v>4034</v>
      </c>
      <c r="D72" s="30" t="s">
        <v>4045</v>
      </c>
      <c r="E72" s="30" t="s">
        <v>1459</v>
      </c>
      <c r="F72" s="30" t="s">
        <v>1459</v>
      </c>
      <c r="G72" s="30" t="s">
        <v>1609</v>
      </c>
      <c r="H72" s="1362">
        <v>0.27112999999999998</v>
      </c>
      <c r="I72" s="1362">
        <v>2.8571428571428573E-6</v>
      </c>
      <c r="J72" s="1362">
        <v>1.2264150943396227E-5</v>
      </c>
      <c r="K72" s="30">
        <v>6.2909999999999994E-2</v>
      </c>
      <c r="L72" s="1189">
        <f>H72+(I72*GWPs!$C$4)+(J72*GWPs!$C$5)</f>
        <v>0.27456325606469001</v>
      </c>
    </row>
    <row r="73" spans="2:12">
      <c r="B73" s="30" t="s">
        <v>4315</v>
      </c>
      <c r="C73" s="30" t="s">
        <v>4034</v>
      </c>
      <c r="D73" s="30" t="s">
        <v>4045</v>
      </c>
      <c r="E73" s="30" t="s">
        <v>1459</v>
      </c>
      <c r="F73" s="30" t="s">
        <v>1459</v>
      </c>
      <c r="G73" s="30" t="s">
        <v>241</v>
      </c>
      <c r="H73" s="1362">
        <v>2.7378200000000001</v>
      </c>
      <c r="I73" s="1362">
        <v>2.7499999999999998E-5</v>
      </c>
      <c r="J73" s="1362">
        <v>1.237735849056604E-4</v>
      </c>
      <c r="K73" s="30">
        <v>0.62665000000000004</v>
      </c>
      <c r="L73" s="1189">
        <f>H73+(I73*GWPs!$C$4)+(J73*GWPs!$C$5)</f>
        <v>2.7724296886792454</v>
      </c>
    </row>
    <row r="74" spans="2:12">
      <c r="B74" s="30" t="s">
        <v>4315</v>
      </c>
      <c r="C74" s="30" t="s">
        <v>4034</v>
      </c>
      <c r="D74" s="30" t="s">
        <v>4045</v>
      </c>
      <c r="E74" s="30" t="s">
        <v>1459</v>
      </c>
      <c r="F74" s="30" t="s">
        <v>1459</v>
      </c>
      <c r="G74" s="30" t="s">
        <v>1607</v>
      </c>
      <c r="H74" s="1362">
        <v>3205.99</v>
      </c>
      <c r="I74" s="1362">
        <v>3.2399999999999998E-2</v>
      </c>
      <c r="J74" s="1362">
        <v>0.14493286792452831</v>
      </c>
      <c r="K74" s="30">
        <v>743.83524</v>
      </c>
      <c r="L74" s="1189">
        <f>H74+(I74*GWPs!$C$4)+(J74*GWPs!$C$5)</f>
        <v>3246.522192943396</v>
      </c>
    </row>
    <row r="75" spans="2:12">
      <c r="B75" s="30" t="s">
        <v>4315</v>
      </c>
      <c r="C75" s="30" t="s">
        <v>4034</v>
      </c>
      <c r="D75" s="30" t="s">
        <v>4038</v>
      </c>
      <c r="E75" s="30" t="s">
        <v>1459</v>
      </c>
      <c r="F75" s="30" t="s">
        <v>1459</v>
      </c>
      <c r="G75" s="30" t="s">
        <v>237</v>
      </c>
      <c r="H75" s="1362">
        <v>0.23563999999999999</v>
      </c>
      <c r="I75" s="1362">
        <v>1.0357142857142857E-5</v>
      </c>
      <c r="J75" s="1362">
        <v>2.0377358490566037E-6</v>
      </c>
      <c r="K75" s="30">
        <v>4.8219999999999999E-2</v>
      </c>
      <c r="L75" s="1189">
        <f>H75+(I75*GWPs!$C$4)+(J75*GWPs!$C$5)</f>
        <v>0.2365049447439353</v>
      </c>
    </row>
    <row r="76" spans="2:12">
      <c r="B76" s="30" t="s">
        <v>4315</v>
      </c>
      <c r="C76" s="30" t="s">
        <v>4034</v>
      </c>
      <c r="D76" s="30" t="s">
        <v>4038</v>
      </c>
      <c r="E76" s="30" t="s">
        <v>1459</v>
      </c>
      <c r="F76" s="30" t="s">
        <v>1459</v>
      </c>
      <c r="G76" s="30" t="s">
        <v>1609</v>
      </c>
      <c r="H76" s="1362">
        <v>0.24804000000000001</v>
      </c>
      <c r="I76" s="1362">
        <v>1.0714285714285714E-5</v>
      </c>
      <c r="J76" s="1362">
        <v>2.1509433962264152E-6</v>
      </c>
      <c r="K76" s="30">
        <v>5.076E-2</v>
      </c>
      <c r="L76" s="1189">
        <f>H76+(I76*GWPs!$C$4)+(J76*GWPs!$C$5)</f>
        <v>0.24894649326145554</v>
      </c>
    </row>
    <row r="77" spans="2:12">
      <c r="B77" s="30" t="s">
        <v>4315</v>
      </c>
      <c r="C77" s="30" t="s">
        <v>4034</v>
      </c>
      <c r="D77" s="30" t="s">
        <v>4038</v>
      </c>
      <c r="E77" s="30" t="s">
        <v>1459</v>
      </c>
      <c r="F77" s="30" t="s">
        <v>1459</v>
      </c>
      <c r="G77" s="30" t="s">
        <v>241</v>
      </c>
      <c r="H77" s="1362">
        <v>2.1114899999999999</v>
      </c>
      <c r="I77" s="1362">
        <v>9.2142857142857139E-5</v>
      </c>
      <c r="J77" s="1362">
        <v>1.837735849056604E-5</v>
      </c>
      <c r="K77" s="30">
        <v>0</v>
      </c>
      <c r="L77" s="1189">
        <f>H77+(I77*GWPs!$C$4)+(J77*GWPs!$C$5)</f>
        <v>2.1192528760107816</v>
      </c>
    </row>
    <row r="78" spans="2:12">
      <c r="B78" s="30" t="s">
        <v>4315</v>
      </c>
      <c r="C78" s="30" t="s">
        <v>4034</v>
      </c>
      <c r="D78" s="30" t="s">
        <v>4038</v>
      </c>
      <c r="E78" s="30" t="s">
        <v>1459</v>
      </c>
      <c r="F78" s="30" t="s">
        <v>1459</v>
      </c>
      <c r="G78" s="30" t="s">
        <v>1607</v>
      </c>
      <c r="H78" s="1362">
        <v>3131.33</v>
      </c>
      <c r="I78" s="1362">
        <v>0.13639999999999999</v>
      </c>
      <c r="J78" s="1362">
        <v>2.7281886792452831E-2</v>
      </c>
      <c r="K78" s="30">
        <v>640.41463999999996</v>
      </c>
      <c r="L78" s="1189">
        <f>H78+(I78*GWPs!$C$4)+(J78*GWPs!$C$5)</f>
        <v>3142.8426750943395</v>
      </c>
    </row>
    <row r="79" spans="2:12">
      <c r="B79" s="30" t="s">
        <v>4315</v>
      </c>
      <c r="C79" s="30" t="s">
        <v>4034</v>
      </c>
      <c r="D79" s="30" t="s">
        <v>4040</v>
      </c>
      <c r="E79" s="30" t="s">
        <v>1459</v>
      </c>
      <c r="F79" s="30" t="s">
        <v>1459</v>
      </c>
      <c r="G79" s="30" t="s">
        <v>237</v>
      </c>
      <c r="H79" s="1362">
        <v>0.24013000000000001</v>
      </c>
      <c r="I79" s="1362">
        <v>3.0357142857142854E-5</v>
      </c>
      <c r="J79" s="1362">
        <v>2.30188679245283E-6</v>
      </c>
      <c r="K79" s="30">
        <v>6.2530000000000002E-2</v>
      </c>
      <c r="L79" s="1189">
        <f>H79+(I79*GWPs!$C$4)+(J79*GWPs!$C$5)</f>
        <v>0.24166305795148249</v>
      </c>
    </row>
    <row r="80" spans="2:12">
      <c r="B80" s="30" t="s">
        <v>4315</v>
      </c>
      <c r="C80" s="30" t="s">
        <v>4034</v>
      </c>
      <c r="D80" s="30" t="s">
        <v>4040</v>
      </c>
      <c r="E80" s="30" t="s">
        <v>1459</v>
      </c>
      <c r="F80" s="30" t="s">
        <v>1459</v>
      </c>
      <c r="G80" s="30" t="s">
        <v>1609</v>
      </c>
      <c r="H80" s="1362">
        <v>0.25275999999999998</v>
      </c>
      <c r="I80" s="1362">
        <v>3.2142857142857144E-5</v>
      </c>
      <c r="J80" s="1362">
        <v>2.4528301886792453E-6</v>
      </c>
      <c r="K80" s="30">
        <v>6.5820000000000004E-2</v>
      </c>
      <c r="L80" s="1189">
        <f>H80+(I80*GWPs!$C$4)+(J80*GWPs!$C$5)</f>
        <v>0.25438747978436654</v>
      </c>
    </row>
    <row r="81" spans="2:12">
      <c r="B81" s="30" t="s">
        <v>4315</v>
      </c>
      <c r="C81" s="30" t="s">
        <v>4034</v>
      </c>
      <c r="D81" s="30" t="s">
        <v>4040</v>
      </c>
      <c r="E81" s="30" t="s">
        <v>1459</v>
      </c>
      <c r="F81" s="30" t="s">
        <v>1459</v>
      </c>
      <c r="G81" s="30" t="s">
        <v>241</v>
      </c>
      <c r="H81" s="1362">
        <v>2.3256700000000001</v>
      </c>
      <c r="I81" s="1362">
        <v>2.9285714285714288E-4</v>
      </c>
      <c r="J81" s="1362">
        <v>2.2528301886792452E-5</v>
      </c>
      <c r="K81" s="30">
        <v>0.60663999999999996</v>
      </c>
      <c r="L81" s="1189">
        <f>H81+(I81*GWPs!$C$4)+(J81*GWPs!$C$5)</f>
        <v>2.3405473692722376</v>
      </c>
    </row>
    <row r="82" spans="2:12">
      <c r="B82" s="30" t="s">
        <v>4315</v>
      </c>
      <c r="C82" s="30" t="s">
        <v>4034</v>
      </c>
      <c r="D82" s="30" t="s">
        <v>4040</v>
      </c>
      <c r="E82" s="30" t="s">
        <v>1459</v>
      </c>
      <c r="F82" s="30" t="s">
        <v>1459</v>
      </c>
      <c r="G82" s="30" t="s">
        <v>1607</v>
      </c>
      <c r="H82" s="1362">
        <v>3135</v>
      </c>
      <c r="I82" s="1362">
        <v>0.39440000000000003</v>
      </c>
      <c r="J82" s="1362">
        <v>3.0335584905660379E-2</v>
      </c>
      <c r="K82" s="30">
        <v>815.93523000000005</v>
      </c>
      <c r="L82" s="1189">
        <f>H82+(I82*GWPs!$C$4)+(J82*GWPs!$C$5)</f>
        <v>3155.034734679245</v>
      </c>
    </row>
    <row r="83" spans="2:12">
      <c r="B83" s="30" t="s">
        <v>4315</v>
      </c>
      <c r="C83" s="30" t="s">
        <v>4034</v>
      </c>
      <c r="D83" s="30" t="s">
        <v>4039</v>
      </c>
      <c r="E83" s="30" t="s">
        <v>1459</v>
      </c>
      <c r="F83" s="30" t="s">
        <v>1459</v>
      </c>
      <c r="G83" s="30" t="s">
        <v>237</v>
      </c>
      <c r="H83" s="1362">
        <v>0.21811</v>
      </c>
      <c r="I83" s="1362">
        <v>3.0000000000000001E-5</v>
      </c>
      <c r="J83" s="1362">
        <v>2.30188679245283E-6</v>
      </c>
      <c r="K83" s="30">
        <v>6.1400000000000003E-2</v>
      </c>
      <c r="L83" s="1189">
        <f>H83+(I83*GWPs!$C$4)+(J83*GWPs!$C$5)</f>
        <v>0.21963241509433962</v>
      </c>
    </row>
    <row r="84" spans="2:12">
      <c r="B84" s="30" t="s">
        <v>4315</v>
      </c>
      <c r="C84" s="30" t="s">
        <v>4034</v>
      </c>
      <c r="D84" s="30" t="s">
        <v>4039</v>
      </c>
      <c r="E84" s="30" t="s">
        <v>1459</v>
      </c>
      <c r="F84" s="30" t="s">
        <v>1459</v>
      </c>
      <c r="G84" s="30" t="s">
        <v>1609</v>
      </c>
      <c r="H84" s="1362">
        <v>0.23025999999999999</v>
      </c>
      <c r="I84" s="1362">
        <v>3.2142857142857144E-5</v>
      </c>
      <c r="J84" s="1362">
        <v>2.4528301886792453E-6</v>
      </c>
      <c r="K84" s="30">
        <v>6.4799999999999996E-2</v>
      </c>
      <c r="L84" s="1189">
        <f>H84+(I84*GWPs!$C$4)+(J84*GWPs!$C$5)</f>
        <v>0.23188747978436658</v>
      </c>
    </row>
    <row r="85" spans="2:12">
      <c r="B85" s="30" t="s">
        <v>4315</v>
      </c>
      <c r="C85" s="30" t="s">
        <v>4034</v>
      </c>
      <c r="D85" s="30" t="s">
        <v>4039</v>
      </c>
      <c r="E85" s="30" t="s">
        <v>1459</v>
      </c>
      <c r="F85" s="30" t="s">
        <v>1459</v>
      </c>
      <c r="G85" s="30" t="s">
        <v>241</v>
      </c>
      <c r="H85" s="1362">
        <v>2.0552299999999999</v>
      </c>
      <c r="I85" s="1362">
        <v>2.8785714285714281E-4</v>
      </c>
      <c r="J85" s="1362">
        <v>2.2150943396226416E-5</v>
      </c>
      <c r="K85" s="30">
        <v>0.58094000000000001</v>
      </c>
      <c r="L85" s="1189">
        <f>H85+(I85*GWPs!$C$4)+(J85*GWPs!$C$5)</f>
        <v>2.0698553504043127</v>
      </c>
    </row>
    <row r="86" spans="2:12">
      <c r="B86" s="30" t="s">
        <v>4315</v>
      </c>
      <c r="C86" s="30" t="s">
        <v>4034</v>
      </c>
      <c r="D86" s="30" t="s">
        <v>4039</v>
      </c>
      <c r="E86" s="30" t="s">
        <v>1459</v>
      </c>
      <c r="F86" s="30" t="s">
        <v>1459</v>
      </c>
      <c r="G86" s="30" t="s">
        <v>1607</v>
      </c>
      <c r="H86" s="1362">
        <v>2754.25</v>
      </c>
      <c r="I86" s="1362">
        <v>0.38719999999999999</v>
      </c>
      <c r="J86" s="1362">
        <v>2.9765094339622641E-2</v>
      </c>
      <c r="K86" s="30">
        <v>777.33392000000003</v>
      </c>
      <c r="L86" s="1189">
        <f>H86+(I86*GWPs!$C$4)+(J86*GWPs!$C$5)</f>
        <v>2773.9144307547172</v>
      </c>
    </row>
    <row r="87" spans="2:12">
      <c r="B87" s="30" t="s">
        <v>4315</v>
      </c>
      <c r="C87" s="30" t="s">
        <v>4034</v>
      </c>
      <c r="D87" s="30" t="s">
        <v>4042</v>
      </c>
      <c r="E87" s="30" t="s">
        <v>1459</v>
      </c>
      <c r="F87" s="30" t="s">
        <v>1459</v>
      </c>
      <c r="G87" s="30" t="s">
        <v>237</v>
      </c>
      <c r="H87" s="1362">
        <v>0.25358999999999998</v>
      </c>
      <c r="I87" s="1362">
        <v>1.0357142857142857E-5</v>
      </c>
      <c r="J87" s="1362">
        <v>9.8490566037735838E-6</v>
      </c>
      <c r="K87" s="30">
        <v>8.931E-2</v>
      </c>
      <c r="L87" s="1189">
        <f>H87+(I87*GWPs!$C$4)+(J87*GWPs!$C$5)</f>
        <v>0.25658743530997308</v>
      </c>
    </row>
    <row r="88" spans="2:12">
      <c r="B88" s="30" t="s">
        <v>4315</v>
      </c>
      <c r="C88" s="30" t="s">
        <v>4034</v>
      </c>
      <c r="D88" s="30" t="s">
        <v>4042</v>
      </c>
      <c r="E88" s="30" t="s">
        <v>1459</v>
      </c>
      <c r="F88" s="30" t="s">
        <v>1459</v>
      </c>
      <c r="G88" s="30" t="s">
        <v>1609</v>
      </c>
      <c r="H88" s="1362">
        <v>0.26978000000000002</v>
      </c>
      <c r="I88" s="1362">
        <v>1.1071428571428571E-5</v>
      </c>
      <c r="J88" s="1362">
        <v>1.0490566037735849E-5</v>
      </c>
      <c r="K88" s="30">
        <v>9.5009999999999997E-2</v>
      </c>
      <c r="L88" s="1189">
        <f>H88+(I88*GWPs!$C$4)+(J88*GWPs!$C$5)</f>
        <v>0.27297385309973043</v>
      </c>
    </row>
    <row r="89" spans="2:12">
      <c r="B89" s="30" t="s">
        <v>4315</v>
      </c>
      <c r="C89" s="30" t="s">
        <v>4034</v>
      </c>
      <c r="D89" s="30" t="s">
        <v>4042</v>
      </c>
      <c r="E89" s="30" t="s">
        <v>1459</v>
      </c>
      <c r="F89" s="30" t="s">
        <v>1459</v>
      </c>
      <c r="G89" s="30" t="s">
        <v>241</v>
      </c>
      <c r="H89" s="1362">
        <v>2.72417</v>
      </c>
      <c r="I89" s="1362">
        <v>1.125E-4</v>
      </c>
      <c r="J89" s="1362">
        <v>1.06E-4</v>
      </c>
      <c r="K89" s="30">
        <v>0.94650000000000001</v>
      </c>
      <c r="L89" s="1189">
        <f>H89+(I89*GWPs!$C$4)+(J89*GWPs!$C$5)</f>
        <v>2.7564605000000002</v>
      </c>
    </row>
    <row r="90" spans="2:12">
      <c r="B90" s="30" t="s">
        <v>4315</v>
      </c>
      <c r="C90" s="30" t="s">
        <v>4034</v>
      </c>
      <c r="D90" s="30" t="s">
        <v>4042</v>
      </c>
      <c r="E90" s="30" t="s">
        <v>1459</v>
      </c>
      <c r="F90" s="30" t="s">
        <v>1459</v>
      </c>
      <c r="G90" s="30" t="s">
        <v>1607</v>
      </c>
      <c r="H90" s="1362">
        <v>3190</v>
      </c>
      <c r="I90" s="1362">
        <v>0.13159999999999999</v>
      </c>
      <c r="J90" s="1362">
        <v>0.12412750943396228</v>
      </c>
      <c r="K90" s="30">
        <v>1123.49881</v>
      </c>
      <c r="L90" s="1189">
        <f>H90+(I90*GWPs!$C$4)+(J90*GWPs!$C$5)</f>
        <v>3227.8084900754716</v>
      </c>
    </row>
    <row r="91" spans="2:12">
      <c r="B91" s="30" t="s">
        <v>4315</v>
      </c>
      <c r="C91" s="30" t="s">
        <v>4034</v>
      </c>
      <c r="D91" s="30" t="s">
        <v>4041</v>
      </c>
      <c r="E91" s="30" t="s">
        <v>1459</v>
      </c>
      <c r="F91" s="30" t="s">
        <v>1459</v>
      </c>
      <c r="G91" s="30" t="s">
        <v>237</v>
      </c>
      <c r="H91" s="1362">
        <v>0.26708999999999999</v>
      </c>
      <c r="I91" s="1362">
        <v>1.6071428571428572E-5</v>
      </c>
      <c r="J91" s="1362">
        <v>2.2641509433962262E-6</v>
      </c>
      <c r="K91" s="30">
        <v>9.3640000000000001E-2</v>
      </c>
      <c r="L91" s="1189">
        <f>H91+(I91*GWPs!$C$4)+(J91*GWPs!$C$5)</f>
        <v>0.26818704177897573</v>
      </c>
    </row>
    <row r="92" spans="2:12">
      <c r="B92" s="30" t="s">
        <v>4315</v>
      </c>
      <c r="C92" s="30" t="s">
        <v>4034</v>
      </c>
      <c r="D92" s="30" t="s">
        <v>4041</v>
      </c>
      <c r="E92" s="30" t="s">
        <v>1459</v>
      </c>
      <c r="F92" s="30" t="s">
        <v>1459</v>
      </c>
      <c r="G92" s="30" t="s">
        <v>1609</v>
      </c>
      <c r="H92" s="1362">
        <v>0.28412999999999999</v>
      </c>
      <c r="I92" s="1362">
        <v>1.6785714285714285E-5</v>
      </c>
      <c r="J92" s="1362">
        <v>2.3773584905660377E-6</v>
      </c>
      <c r="K92" s="30">
        <v>9.962E-2</v>
      </c>
      <c r="L92" s="1189">
        <f>H92+(I92*GWPs!$C$4)+(J92*GWPs!$C$5)</f>
        <v>0.28527923315363879</v>
      </c>
    </row>
    <row r="93" spans="2:12">
      <c r="B93" s="30" t="s">
        <v>4315</v>
      </c>
      <c r="C93" s="30" t="s">
        <v>4034</v>
      </c>
      <c r="D93" s="30" t="s">
        <v>4041</v>
      </c>
      <c r="E93" s="30" t="s">
        <v>1459</v>
      </c>
      <c r="F93" s="30" t="s">
        <v>1459</v>
      </c>
      <c r="G93" s="30" t="s">
        <v>241</v>
      </c>
      <c r="H93" s="1362">
        <v>3.16262</v>
      </c>
      <c r="I93" s="1362">
        <v>1.8928571428571429E-4</v>
      </c>
      <c r="J93" s="1362">
        <v>2.6452830188679246E-5</v>
      </c>
      <c r="K93" s="30">
        <v>1.1012500000000001</v>
      </c>
      <c r="L93" s="1189">
        <f>H93+(I93*GWPs!$C$4)+(J93*GWPs!$C$5)</f>
        <v>3.1754823369272236</v>
      </c>
    </row>
    <row r="94" spans="2:12">
      <c r="B94" s="30" t="s">
        <v>4315</v>
      </c>
      <c r="C94" s="30" t="s">
        <v>4034</v>
      </c>
      <c r="D94" s="30" t="s">
        <v>4041</v>
      </c>
      <c r="E94" s="30" t="s">
        <v>1459</v>
      </c>
      <c r="F94" s="30" t="s">
        <v>1459</v>
      </c>
      <c r="G94" s="30" t="s">
        <v>1607</v>
      </c>
      <c r="H94" s="1362">
        <v>3216.38</v>
      </c>
      <c r="I94" s="1362">
        <v>0.19239999999999999</v>
      </c>
      <c r="J94" s="1362">
        <v>2.6879207547169812E-2</v>
      </c>
      <c r="K94" s="30">
        <v>1132.08149</v>
      </c>
      <c r="L94" s="1189">
        <f>H94+(I94*GWPs!$C$4)+(J94*GWPs!$C$5)</f>
        <v>3229.4515436603779</v>
      </c>
    </row>
    <row r="95" spans="2:12">
      <c r="B95" s="30" t="s">
        <v>4315</v>
      </c>
      <c r="C95" s="30" t="s">
        <v>4034</v>
      </c>
      <c r="D95" s="30" t="s">
        <v>4043</v>
      </c>
      <c r="E95" s="30" t="s">
        <v>1459</v>
      </c>
      <c r="F95" s="30" t="s">
        <v>1459</v>
      </c>
      <c r="G95" s="30" t="s">
        <v>237</v>
      </c>
      <c r="H95" s="1362">
        <v>0.24571000000000001</v>
      </c>
      <c r="I95" s="1362">
        <v>1.1071428571428571E-5</v>
      </c>
      <c r="J95" s="1362">
        <v>2.2641509433962262E-6</v>
      </c>
      <c r="K95" s="30">
        <v>2.9229999999999999E-2</v>
      </c>
      <c r="L95" s="1189">
        <f>H95+(I95*GWPs!$C$4)+(J95*GWPs!$C$5)</f>
        <v>0.24665804177897577</v>
      </c>
    </row>
    <row r="96" spans="2:12">
      <c r="B96" s="30" t="s">
        <v>4315</v>
      </c>
      <c r="C96" s="30" t="s">
        <v>4034</v>
      </c>
      <c r="D96" s="30" t="s">
        <v>4043</v>
      </c>
      <c r="E96" s="30" t="s">
        <v>1459</v>
      </c>
      <c r="F96" s="30" t="s">
        <v>1459</v>
      </c>
      <c r="G96" s="30" t="s">
        <v>1609</v>
      </c>
      <c r="H96" s="1362">
        <v>0.25863999999999998</v>
      </c>
      <c r="I96" s="1362">
        <v>1.2142857142857144E-5</v>
      </c>
      <c r="J96" s="1362">
        <v>2.3773584905660377E-6</v>
      </c>
      <c r="K96" s="30">
        <v>3.0769999999999999E-2</v>
      </c>
      <c r="L96" s="1189">
        <f>H96+(I96*GWPs!$C$4)+(J96*GWPs!$C$5)</f>
        <v>0.25965087601078163</v>
      </c>
    </row>
    <row r="97" spans="2:12">
      <c r="B97" s="30" t="s">
        <v>4315</v>
      </c>
      <c r="C97" s="30" t="s">
        <v>4034</v>
      </c>
      <c r="D97" s="30" t="s">
        <v>4043</v>
      </c>
      <c r="E97" s="30" t="s">
        <v>1459</v>
      </c>
      <c r="F97" s="30" t="s">
        <v>1459</v>
      </c>
      <c r="G97" s="30" t="s">
        <v>241</v>
      </c>
      <c r="H97" s="1362">
        <v>0</v>
      </c>
      <c r="I97" s="1362">
        <v>0</v>
      </c>
      <c r="J97" s="1362">
        <v>0</v>
      </c>
      <c r="K97" s="30">
        <v>0</v>
      </c>
      <c r="L97" s="1189">
        <f>H97+(I97*GWPs!$C$4)+(J97*GWPs!$C$5)</f>
        <v>0</v>
      </c>
    </row>
    <row r="98" spans="2:12">
      <c r="B98" s="30" t="s">
        <v>4315</v>
      </c>
      <c r="C98" s="30" t="s">
        <v>4034</v>
      </c>
      <c r="D98" s="30" t="s">
        <v>4043</v>
      </c>
      <c r="E98" s="30" t="s">
        <v>1459</v>
      </c>
      <c r="F98" s="30" t="s">
        <v>1459</v>
      </c>
      <c r="G98" s="30" t="s">
        <v>1607</v>
      </c>
      <c r="H98" s="1362">
        <v>2933.33</v>
      </c>
      <c r="I98" s="1362">
        <v>0.1356</v>
      </c>
      <c r="J98" s="1362">
        <v>2.7147660377358492E-2</v>
      </c>
      <c r="K98" s="30">
        <v>348.98257999999998</v>
      </c>
      <c r="L98" s="1189">
        <f>H98+(I98*GWPs!$C$4)+(J98*GWPs!$C$5)</f>
        <v>2944.7821912830186</v>
      </c>
    </row>
    <row r="99" spans="2:12">
      <c r="B99" s="30" t="s">
        <v>4315</v>
      </c>
      <c r="C99" s="30" t="s">
        <v>4034</v>
      </c>
      <c r="D99" s="30" t="s">
        <v>4044</v>
      </c>
      <c r="E99" s="30" t="s">
        <v>1459</v>
      </c>
      <c r="F99" s="30" t="s">
        <v>1459</v>
      </c>
      <c r="G99" s="30" t="s">
        <v>237</v>
      </c>
      <c r="H99" s="1362">
        <v>0.25256000000000001</v>
      </c>
      <c r="I99" s="1362">
        <v>9.9999999999999991E-6</v>
      </c>
      <c r="J99" s="1362">
        <v>1.3471698113207547E-5</v>
      </c>
      <c r="K99" s="30">
        <v>8.8950000000000001E-2</v>
      </c>
      <c r="L99" s="1189">
        <f>H99+(I99*GWPs!$C$4)+(J99*GWPs!$C$5)</f>
        <v>0.2565357735849057</v>
      </c>
    </row>
    <row r="100" spans="2:12">
      <c r="B100" s="30" t="s">
        <v>4315</v>
      </c>
      <c r="C100" s="30" t="s">
        <v>4034</v>
      </c>
      <c r="D100" s="30" t="s">
        <v>4044</v>
      </c>
      <c r="E100" s="30" t="s">
        <v>1459</v>
      </c>
      <c r="F100" s="30" t="s">
        <v>1459</v>
      </c>
      <c r="G100" s="30" t="s">
        <v>1609</v>
      </c>
      <c r="H100" s="1362">
        <v>0.27046999999999999</v>
      </c>
      <c r="I100" s="1362">
        <v>1.0714285714285714E-5</v>
      </c>
      <c r="J100" s="1362">
        <v>1.4377358490566037E-5</v>
      </c>
      <c r="K100" s="30">
        <v>9.5259999999999997E-2</v>
      </c>
      <c r="L100" s="1189">
        <f>H100+(I100*GWPs!$C$4)+(J100*GWPs!$C$5)</f>
        <v>0.27471430458221019</v>
      </c>
    </row>
    <row r="101" spans="2:12">
      <c r="B101" s="30" t="s">
        <v>4315</v>
      </c>
      <c r="C101" s="30" t="s">
        <v>4034</v>
      </c>
      <c r="D101" s="30" t="s">
        <v>4044</v>
      </c>
      <c r="E101" s="30" t="s">
        <v>1459</v>
      </c>
      <c r="F101" s="30" t="s">
        <v>1459</v>
      </c>
      <c r="G101" s="30" t="s">
        <v>241</v>
      </c>
      <c r="H101" s="1362">
        <v>2.7080099999999998</v>
      </c>
      <c r="I101" s="1362">
        <v>1.0785714285714286E-4</v>
      </c>
      <c r="J101" s="1362">
        <v>1.4415094339622641E-4</v>
      </c>
      <c r="K101" s="30">
        <v>0</v>
      </c>
      <c r="L101" s="1189">
        <f>H101+(I101*GWPs!$C$4)+(J101*GWPs!$C$5)</f>
        <v>2.7505773504043125</v>
      </c>
    </row>
    <row r="102" spans="2:12">
      <c r="B102" s="30" t="s">
        <v>4315</v>
      </c>
      <c r="C102" s="30" t="s">
        <v>4034</v>
      </c>
      <c r="D102" s="30" t="s">
        <v>4044</v>
      </c>
      <c r="E102" s="30" t="s">
        <v>1459</v>
      </c>
      <c r="F102" s="30" t="s">
        <v>1459</v>
      </c>
      <c r="G102" s="30" t="s">
        <v>1607</v>
      </c>
      <c r="H102" s="1362">
        <v>3171.09</v>
      </c>
      <c r="I102" s="1362">
        <v>0.1268</v>
      </c>
      <c r="J102" s="1362">
        <v>0.16882550943396227</v>
      </c>
      <c r="K102" s="30">
        <v>1116.8371199999999</v>
      </c>
      <c r="L102" s="1189">
        <f>H102+(I102*GWPs!$C$4)+(J102*GWPs!$C$5)</f>
        <v>3220.9580040754718</v>
      </c>
    </row>
    <row r="103" spans="2:12">
      <c r="B103" s="30" t="s">
        <v>4315</v>
      </c>
      <c r="C103" s="30" t="s">
        <v>4047</v>
      </c>
      <c r="D103" s="30" t="s">
        <v>4050</v>
      </c>
      <c r="E103" s="30" t="s">
        <v>1459</v>
      </c>
      <c r="F103" s="30" t="s">
        <v>1459</v>
      </c>
      <c r="G103" s="30" t="s">
        <v>237</v>
      </c>
      <c r="H103" s="1362">
        <v>0.31458999999999998</v>
      </c>
      <c r="I103" s="1362">
        <v>1.0260714285714285E-3</v>
      </c>
      <c r="J103" s="1362">
        <v>1.4679245283018868E-5</v>
      </c>
      <c r="K103" s="30">
        <v>5.629E-2</v>
      </c>
      <c r="L103" s="1189">
        <f>H103+(I103*GWPs!$C$4)+(J103*GWPs!$C$5)</f>
        <v>0.34917436253369272</v>
      </c>
    </row>
    <row r="104" spans="2:12">
      <c r="B104" s="30" t="s">
        <v>4315</v>
      </c>
      <c r="C104" s="30" t="s">
        <v>4047</v>
      </c>
      <c r="D104" s="30" t="s">
        <v>4050</v>
      </c>
      <c r="E104" s="30" t="s">
        <v>1459</v>
      </c>
      <c r="F104" s="30" t="s">
        <v>1459</v>
      </c>
      <c r="G104" s="30" t="s">
        <v>1609</v>
      </c>
      <c r="H104" s="1362">
        <v>0.33115</v>
      </c>
      <c r="I104" s="1362">
        <v>1.08E-3</v>
      </c>
      <c r="J104" s="1362">
        <v>1.547169811320755E-5</v>
      </c>
      <c r="K104" s="30">
        <v>5.9249999999999997E-2</v>
      </c>
      <c r="L104" s="1189">
        <f>H104+(I104*GWPs!$C$4)+(J104*GWPs!$C$5)</f>
        <v>0.36755777358490566</v>
      </c>
    </row>
    <row r="105" spans="2:12">
      <c r="B105" s="30" t="s">
        <v>4315</v>
      </c>
      <c r="C105" s="30" t="s">
        <v>4047</v>
      </c>
      <c r="D105" s="30" t="s">
        <v>4050</v>
      </c>
      <c r="E105" s="30" t="s">
        <v>1459</v>
      </c>
      <c r="F105" s="30" t="s">
        <v>1459</v>
      </c>
      <c r="G105" s="30" t="s">
        <v>1607</v>
      </c>
      <c r="H105" s="1362">
        <v>2632</v>
      </c>
      <c r="I105" s="1362">
        <v>8.5839999999999996</v>
      </c>
      <c r="J105" s="1362">
        <v>0.12302015094339623</v>
      </c>
      <c r="K105" s="30">
        <v>470.95724000000001</v>
      </c>
      <c r="L105" s="1189">
        <f>H105+(I105*GWPs!$C$4)+(J105*GWPs!$C$5)</f>
        <v>2921.3877012075468</v>
      </c>
    </row>
    <row r="106" spans="2:12">
      <c r="B106" s="30" t="s">
        <v>4315</v>
      </c>
      <c r="C106" s="30" t="s">
        <v>4047</v>
      </c>
      <c r="D106" s="30" t="s">
        <v>4053</v>
      </c>
      <c r="E106" s="30" t="s">
        <v>1459</v>
      </c>
      <c r="F106" s="30" t="s">
        <v>1459</v>
      </c>
      <c r="G106" s="30" t="s">
        <v>237</v>
      </c>
      <c r="H106" s="1362">
        <v>0.31769999999999998</v>
      </c>
      <c r="I106" s="1362">
        <v>3.5714285714285718E-6</v>
      </c>
      <c r="J106" s="1362">
        <v>6.0000000000000002E-6</v>
      </c>
      <c r="K106" s="30">
        <v>5.629E-2</v>
      </c>
      <c r="L106" s="1189">
        <f>H106+(I106*GWPs!$C$4)+(J106*GWPs!$C$5)</f>
        <v>0.31944442857142852</v>
      </c>
    </row>
    <row r="107" spans="2:12">
      <c r="B107" s="30" t="s">
        <v>4315</v>
      </c>
      <c r="C107" s="30" t="s">
        <v>4047</v>
      </c>
      <c r="D107" s="30" t="s">
        <v>4053</v>
      </c>
      <c r="E107" s="30" t="s">
        <v>1459</v>
      </c>
      <c r="F107" s="30" t="s">
        <v>1459</v>
      </c>
      <c r="G107" s="30" t="s">
        <v>1609</v>
      </c>
      <c r="H107" s="1362">
        <v>0.33443000000000001</v>
      </c>
      <c r="I107" s="1362">
        <v>3.5714285714285718E-6</v>
      </c>
      <c r="J107" s="1362">
        <v>6.3396226415094341E-6</v>
      </c>
      <c r="K107" s="30">
        <v>5.9249999999999997E-2</v>
      </c>
      <c r="L107" s="1189">
        <f>H107+(I107*GWPs!$C$4)+(J107*GWPs!$C$5)</f>
        <v>0.33626714555256065</v>
      </c>
    </row>
    <row r="108" spans="2:12">
      <c r="B108" s="30" t="s">
        <v>4315</v>
      </c>
      <c r="C108" s="30" t="s">
        <v>4047</v>
      </c>
      <c r="D108" s="30" t="s">
        <v>4053</v>
      </c>
      <c r="E108" s="30" t="s">
        <v>1459</v>
      </c>
      <c r="F108" s="30" t="s">
        <v>1459</v>
      </c>
      <c r="G108" s="30" t="s">
        <v>1607</v>
      </c>
      <c r="H108" s="1362">
        <v>2209.87</v>
      </c>
      <c r="I108" s="1362">
        <v>2.4E-2</v>
      </c>
      <c r="J108" s="1362">
        <v>4.228188679245283E-2</v>
      </c>
      <c r="K108" s="30">
        <v>389.45704000000001</v>
      </c>
      <c r="L108" s="1189">
        <f>H108+(I108*GWPs!$C$4)+(J108*GWPs!$C$5)</f>
        <v>2222.1281550943395</v>
      </c>
    </row>
    <row r="109" spans="2:12">
      <c r="B109" s="30" t="s">
        <v>4315</v>
      </c>
      <c r="C109" s="30" t="s">
        <v>4047</v>
      </c>
      <c r="D109" s="30" t="s">
        <v>4049</v>
      </c>
      <c r="E109" s="30" t="s">
        <v>1459</v>
      </c>
      <c r="F109" s="30" t="s">
        <v>1459</v>
      </c>
      <c r="G109" s="30" t="s">
        <v>237</v>
      </c>
      <c r="H109" s="1362">
        <v>0.31769999999999998</v>
      </c>
      <c r="I109" s="1362">
        <v>3.5714285714285718E-6</v>
      </c>
      <c r="J109" s="1362">
        <v>6.0000000000000002E-6</v>
      </c>
      <c r="K109" s="30">
        <v>5.629E-2</v>
      </c>
      <c r="L109" s="1189">
        <f>H109+(I109*GWPs!$C$4)+(J109*GWPs!$C$5)</f>
        <v>0.31944442857142852</v>
      </c>
    </row>
    <row r="110" spans="2:12">
      <c r="B110" s="30" t="s">
        <v>4315</v>
      </c>
      <c r="C110" s="30" t="s">
        <v>4047</v>
      </c>
      <c r="D110" s="30" t="s">
        <v>4049</v>
      </c>
      <c r="E110" s="30" t="s">
        <v>1459</v>
      </c>
      <c r="F110" s="30" t="s">
        <v>1459</v>
      </c>
      <c r="G110" s="30" t="s">
        <v>1609</v>
      </c>
      <c r="H110" s="1362">
        <v>0.33443000000000001</v>
      </c>
      <c r="I110" s="1362">
        <v>3.5714285714285718E-6</v>
      </c>
      <c r="J110" s="1362">
        <v>6.3396226415094341E-6</v>
      </c>
      <c r="K110" s="30">
        <v>5.9249999999999997E-2</v>
      </c>
      <c r="L110" s="1189">
        <f>H110+(I110*GWPs!$C$4)+(J110*GWPs!$C$5)</f>
        <v>0.33626714555256065</v>
      </c>
    </row>
    <row r="111" spans="2:12">
      <c r="B111" s="30" t="s">
        <v>4315</v>
      </c>
      <c r="C111" s="30" t="s">
        <v>4047</v>
      </c>
      <c r="D111" s="30" t="s">
        <v>4049</v>
      </c>
      <c r="E111" s="30" t="s">
        <v>1459</v>
      </c>
      <c r="F111" s="30" t="s">
        <v>1459</v>
      </c>
      <c r="G111" s="30" t="s">
        <v>1607</v>
      </c>
      <c r="H111" s="1362">
        <v>2213.33</v>
      </c>
      <c r="I111" s="1362">
        <v>2.4E-2</v>
      </c>
      <c r="J111" s="1362">
        <v>4.2348981132075469E-2</v>
      </c>
      <c r="K111" s="30">
        <v>390.06646999999998</v>
      </c>
      <c r="L111" s="1189">
        <f>H111+(I111*GWPs!$C$4)+(J111*GWPs!$C$5)</f>
        <v>2225.6064718490566</v>
      </c>
    </row>
    <row r="112" spans="2:12">
      <c r="B112" s="30" t="s">
        <v>4315</v>
      </c>
      <c r="C112" s="30" t="s">
        <v>4047</v>
      </c>
      <c r="D112" s="30" t="s">
        <v>4048</v>
      </c>
      <c r="E112" s="30" t="s">
        <v>1459</v>
      </c>
      <c r="F112" s="30" t="s">
        <v>1459</v>
      </c>
      <c r="G112" s="30" t="s">
        <v>237</v>
      </c>
      <c r="H112" s="1362">
        <v>0.31914999999999999</v>
      </c>
      <c r="I112" s="1362">
        <v>3.678571428571429E-5</v>
      </c>
      <c r="J112" s="1362">
        <v>8.6037735849056608E-6</v>
      </c>
      <c r="K112" s="30">
        <v>5.629E-2</v>
      </c>
      <c r="L112" s="1189">
        <f>H112+(I112*GWPs!$C$4)+(J112*GWPs!$C$5)</f>
        <v>0.32259504447439352</v>
      </c>
    </row>
    <row r="113" spans="2:12">
      <c r="B113" s="30" t="s">
        <v>4315</v>
      </c>
      <c r="C113" s="30" t="s">
        <v>4047</v>
      </c>
      <c r="D113" s="30" t="s">
        <v>4048</v>
      </c>
      <c r="E113" s="30" t="s">
        <v>1459</v>
      </c>
      <c r="F113" s="30" t="s">
        <v>1459</v>
      </c>
      <c r="G113" s="30" t="s">
        <v>1609</v>
      </c>
      <c r="H113" s="1362">
        <v>0.33595000000000003</v>
      </c>
      <c r="I113" s="1362">
        <v>3.892857142857143E-5</v>
      </c>
      <c r="J113" s="1362">
        <v>9.0566037735849049E-6</v>
      </c>
      <c r="K113" s="30">
        <v>5.9249999999999997E-2</v>
      </c>
      <c r="L113" s="1189">
        <f>H113+(I113*GWPs!$C$4)+(J113*GWPs!$C$5)</f>
        <v>0.33958252425876012</v>
      </c>
    </row>
    <row r="114" spans="2:12">
      <c r="B114" s="30" t="s">
        <v>4315</v>
      </c>
      <c r="C114" s="30" t="s">
        <v>4047</v>
      </c>
      <c r="D114" s="30" t="s">
        <v>4048</v>
      </c>
      <c r="E114" s="30" t="s">
        <v>1459</v>
      </c>
      <c r="F114" s="30" t="s">
        <v>1459</v>
      </c>
      <c r="G114" s="30" t="s">
        <v>1607</v>
      </c>
      <c r="H114" s="1362">
        <v>2370.7199999999998</v>
      </c>
      <c r="I114" s="1362">
        <v>0.27279999999999999</v>
      </c>
      <c r="J114" s="1362">
        <v>6.3892603773584897E-2</v>
      </c>
      <c r="K114" s="30">
        <v>418.14963999999998</v>
      </c>
      <c r="L114" s="1189">
        <f>H114+(I114*GWPs!$C$4)+(J114*GWPs!$C$5)</f>
        <v>2396.2921208301887</v>
      </c>
    </row>
    <row r="115" spans="2:12">
      <c r="B115" s="30" t="s">
        <v>4315</v>
      </c>
      <c r="C115" s="30" t="s">
        <v>4047</v>
      </c>
      <c r="D115" s="30" t="s">
        <v>4051</v>
      </c>
      <c r="E115" s="30" t="s">
        <v>1459</v>
      </c>
      <c r="F115" s="30" t="s">
        <v>1459</v>
      </c>
      <c r="G115" s="30" t="s">
        <v>237</v>
      </c>
      <c r="H115" s="1362">
        <v>0.35559000000000002</v>
      </c>
      <c r="I115" s="1362">
        <v>3.392857142857143E-5</v>
      </c>
      <c r="J115" s="1362">
        <v>5.1320754716981136E-6</v>
      </c>
      <c r="K115" s="30">
        <v>5.629E-2</v>
      </c>
      <c r="L115" s="1189">
        <f>H115+(I115*GWPs!$C$4)+(J115*GWPs!$C$5)</f>
        <v>0.35800212803234505</v>
      </c>
    </row>
    <row r="116" spans="2:12">
      <c r="B116" s="30" t="s">
        <v>4315</v>
      </c>
      <c r="C116" s="30" t="s">
        <v>4047</v>
      </c>
      <c r="D116" s="30" t="s">
        <v>4051</v>
      </c>
      <c r="E116" s="30" t="s">
        <v>1459</v>
      </c>
      <c r="F116" s="30" t="s">
        <v>1459</v>
      </c>
      <c r="G116" s="30" t="s">
        <v>1609</v>
      </c>
      <c r="H116" s="1362">
        <v>0.37430999999999998</v>
      </c>
      <c r="I116" s="1362">
        <v>3.607142857142857E-5</v>
      </c>
      <c r="J116" s="1362">
        <v>5.3962264150943399E-6</v>
      </c>
      <c r="K116" s="30">
        <v>5.9249999999999997E-2</v>
      </c>
      <c r="L116" s="1189">
        <f>H116+(I116*GWPs!$C$4)+(J116*GWPs!$C$5)</f>
        <v>0.37685809838274925</v>
      </c>
    </row>
    <row r="117" spans="2:12">
      <c r="B117" s="30" t="s">
        <v>4315</v>
      </c>
      <c r="C117" s="30" t="s">
        <v>4047</v>
      </c>
      <c r="D117" s="30" t="s">
        <v>4051</v>
      </c>
      <c r="E117" s="30" t="s">
        <v>1459</v>
      </c>
      <c r="F117" s="30" t="s">
        <v>1459</v>
      </c>
      <c r="G117" s="30" t="s">
        <v>1607</v>
      </c>
      <c r="H117" s="1362">
        <v>3144.16</v>
      </c>
      <c r="I117" s="1362">
        <v>0.3024</v>
      </c>
      <c r="J117" s="1362">
        <v>4.5369132075471698E-2</v>
      </c>
      <c r="K117" s="30">
        <v>497.73658</v>
      </c>
      <c r="L117" s="1189">
        <f>H117+(I117*GWPs!$C$4)+(J117*GWPs!$C$5)</f>
        <v>3165.5572930566036</v>
      </c>
    </row>
    <row r="118" spans="2:12">
      <c r="B118" s="30" t="s">
        <v>4315</v>
      </c>
      <c r="C118" s="30" t="s">
        <v>4047</v>
      </c>
      <c r="D118" s="30" t="s">
        <v>4052</v>
      </c>
      <c r="E118" s="30" t="s">
        <v>1459</v>
      </c>
      <c r="F118" s="30" t="s">
        <v>1459</v>
      </c>
      <c r="G118" s="30" t="s">
        <v>237</v>
      </c>
      <c r="H118" s="1362">
        <v>0.33996999999999999</v>
      </c>
      <c r="I118" s="1362">
        <v>1.3571428571428572E-5</v>
      </c>
      <c r="J118" s="1362">
        <v>2.1509433962264152E-6</v>
      </c>
      <c r="K118" s="30">
        <v>4.0529999999999997E-2</v>
      </c>
      <c r="L118" s="1189">
        <f>H118+(I118*GWPs!$C$4)+(J118*GWPs!$C$5)</f>
        <v>0.34096163611859837</v>
      </c>
    </row>
    <row r="119" spans="2:12">
      <c r="B119" s="30" t="s">
        <v>4315</v>
      </c>
      <c r="C119" s="30" t="s">
        <v>4047</v>
      </c>
      <c r="D119" s="30" t="s">
        <v>4052</v>
      </c>
      <c r="E119" s="30" t="s">
        <v>1459</v>
      </c>
      <c r="F119" s="30" t="s">
        <v>1459</v>
      </c>
      <c r="G119" s="30" t="s">
        <v>1609</v>
      </c>
      <c r="H119" s="1362">
        <v>0.35786000000000001</v>
      </c>
      <c r="I119" s="1362">
        <v>1.4285714285714287E-5</v>
      </c>
      <c r="J119" s="1362">
        <v>2.2641509433962262E-6</v>
      </c>
      <c r="K119" s="30">
        <v>4.267E-2</v>
      </c>
      <c r="L119" s="1189">
        <f>H119+(I119*GWPs!$C$4)+(J119*GWPs!$C$5)</f>
        <v>0.3589038274932615</v>
      </c>
    </row>
    <row r="120" spans="2:12">
      <c r="B120" s="30" t="s">
        <v>4315</v>
      </c>
      <c r="C120" s="30" t="s">
        <v>4047</v>
      </c>
      <c r="D120" s="30" t="s">
        <v>4052</v>
      </c>
      <c r="E120" s="30" t="s">
        <v>1459</v>
      </c>
      <c r="F120" s="30" t="s">
        <v>1459</v>
      </c>
      <c r="G120" s="30" t="s">
        <v>1607</v>
      </c>
      <c r="H120" s="1362">
        <v>3377.05</v>
      </c>
      <c r="I120" s="1362">
        <v>0.1368</v>
      </c>
      <c r="J120" s="1362">
        <v>2.1476528301886792E-2</v>
      </c>
      <c r="K120" s="30">
        <v>402.62468000000001</v>
      </c>
      <c r="L120" s="1189">
        <f>H120+(I120*GWPs!$C$4)+(J120*GWPs!$C$5)</f>
        <v>3386.9897322264155</v>
      </c>
    </row>
  </sheetData>
  <sheetProtection algorithmName="SHA-512" hashValue="AuYj9AA8gtIIzs2jISK7kirHJjKt+PGRHSaPWVeIFROZob1v6YatmvLo+gs6bRZPMfa/K7M/C/cZoTyaU1XguQ==" saltValue="b8EUS7sefTVVoRb1WGkWLg==" spinCount="100000" sheet="1" objects="1" scenarios="1" selectLockedCells="1" selectUnlockedCells="1"/>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42F99-845D-4EFD-85E2-DAF8F78BC20D}">
  <sheetPr codeName="Sheet36"/>
  <dimension ref="A2:Q13"/>
  <sheetViews>
    <sheetView showGridLines="0" workbookViewId="0">
      <selection sqref="A1:XFD1048576"/>
    </sheetView>
  </sheetViews>
  <sheetFormatPr defaultColWidth="9.125" defaultRowHeight="14.25"/>
  <cols>
    <col min="1" max="1" width="21" style="104" customWidth="1"/>
    <col min="2" max="2" width="25.625" style="104" customWidth="1"/>
    <col min="3" max="3" width="12.625" style="1367" customWidth="1"/>
    <col min="4" max="11" width="9.125" style="104"/>
    <col min="12" max="12" width="12.625" style="104" bestFit="1" customWidth="1"/>
    <col min="13" max="15" width="9.125" style="104" customWidth="1"/>
    <col min="16" max="16384" width="9.125" style="104"/>
  </cols>
  <sheetData>
    <row r="2" spans="1:17" ht="41.45" customHeight="1">
      <c r="A2" s="1363" t="s">
        <v>1581</v>
      </c>
      <c r="B2" s="1364" t="s">
        <v>1582</v>
      </c>
      <c r="C2" s="1365" t="s">
        <v>24</v>
      </c>
    </row>
    <row r="3" spans="1:17">
      <c r="B3" s="1366" t="s">
        <v>1583</v>
      </c>
      <c r="C3" s="1367" cm="1">
        <f t="array" ref="C3">_xlfn.IFS($B$2="SAR",M4,$B$2="AR4",N4,$B$2="AR5",O4,$B$2="AR6",P4)</f>
        <v>1</v>
      </c>
      <c r="M3" s="104" t="s">
        <v>25</v>
      </c>
      <c r="N3" s="104" t="s">
        <v>1584</v>
      </c>
      <c r="O3" s="104" t="s">
        <v>1585</v>
      </c>
      <c r="P3" s="104" t="s">
        <v>1582</v>
      </c>
    </row>
    <row r="4" spans="1:17">
      <c r="B4" s="1366" t="s">
        <v>1586</v>
      </c>
      <c r="C4" s="1367" cm="1">
        <f t="array" ref="C4">_xlfn.IFS($B$2="SAR",M5,$B$2="AR4",N5,$B$2="AR5",O5,$B$2="AR6",P5)</f>
        <v>29.8</v>
      </c>
      <c r="L4" s="1366" t="s">
        <v>1583</v>
      </c>
      <c r="M4" s="104">
        <v>1</v>
      </c>
      <c r="N4" s="104">
        <v>1</v>
      </c>
      <c r="O4" s="104">
        <v>1</v>
      </c>
      <c r="P4" s="1368">
        <v>1</v>
      </c>
    </row>
    <row r="5" spans="1:17">
      <c r="B5" s="1366" t="s">
        <v>1587</v>
      </c>
      <c r="C5" s="1367" cm="1">
        <f t="array" ref="C5">_xlfn.IFS($B$2="SAR",M6,$B$2="AR4",N6,$B$2="AR5",O6,$B$2="AR6",P6)</f>
        <v>273</v>
      </c>
      <c r="L5" s="1366" t="s">
        <v>1586</v>
      </c>
      <c r="M5" s="104">
        <v>21</v>
      </c>
      <c r="N5" s="104">
        <v>25</v>
      </c>
      <c r="O5" s="104">
        <v>28</v>
      </c>
      <c r="P5" s="1368">
        <v>29.8</v>
      </c>
      <c r="Q5" s="1369" t="s">
        <v>1588</v>
      </c>
    </row>
    <row r="6" spans="1:17" ht="15">
      <c r="B6" s="1370" t="s">
        <v>37</v>
      </c>
      <c r="C6" s="1367" cm="1">
        <f t="array" ref="C6">_xlfn.IFS($B$2="SAR",M7,$B$2="AR4",N7,$B$2="AR5",O7,$B$2="AR6",P7)</f>
        <v>3600</v>
      </c>
      <c r="L6" s="1366" t="s">
        <v>1587</v>
      </c>
      <c r="M6" s="104">
        <v>310</v>
      </c>
      <c r="N6" s="104">
        <v>298</v>
      </c>
      <c r="O6" s="104">
        <v>265</v>
      </c>
      <c r="P6" s="1368">
        <v>273</v>
      </c>
    </row>
    <row r="7" spans="1:17" ht="15">
      <c r="B7" s="1370" t="s">
        <v>34</v>
      </c>
      <c r="C7" s="1367" cm="1">
        <f t="array" ref="C7">_xlfn.IFS($B$2="SAR",M8,$B$2="AR4",N8,$B$2="AR5",O8,$B$2="AR6",P8)</f>
        <v>1530</v>
      </c>
      <c r="L7" s="1370" t="s">
        <v>37</v>
      </c>
      <c r="M7" s="30">
        <v>2900</v>
      </c>
      <c r="N7" s="104">
        <v>3220</v>
      </c>
      <c r="O7" s="30">
        <v>3350</v>
      </c>
      <c r="P7" s="1371">
        <v>3600</v>
      </c>
    </row>
    <row r="8" spans="1:17" ht="15">
      <c r="L8" s="1370" t="s">
        <v>34</v>
      </c>
      <c r="M8" s="30">
        <v>1300</v>
      </c>
      <c r="N8" s="30">
        <v>1300</v>
      </c>
      <c r="O8" s="30">
        <v>1430</v>
      </c>
      <c r="P8" s="1371">
        <v>1530</v>
      </c>
    </row>
    <row r="9" spans="1:17" ht="46.5" customHeight="1">
      <c r="B9" s="1372"/>
      <c r="C9" s="1373"/>
    </row>
    <row r="10" spans="1:17" ht="15">
      <c r="A10" s="1374" t="s">
        <v>1589</v>
      </c>
    </row>
    <row r="11" spans="1:17">
      <c r="A11" s="104" t="s">
        <v>1590</v>
      </c>
    </row>
    <row r="12" spans="1:17">
      <c r="A12" s="104" t="s">
        <v>1591</v>
      </c>
    </row>
    <row r="13" spans="1:17">
      <c r="A13" s="1375" t="s">
        <v>1592</v>
      </c>
    </row>
  </sheetData>
  <sheetProtection algorithmName="SHA-512" hashValue="CuDwpN4KyI1krLrxZeccnAmZ3Qw8nopWZL3LbXvtn620XlhfdWqbI5jvDOBYIjTd/Ug2j/Km0FK8MrVO9Na92A==" saltValue="70Cw/mKletyJA4sn1oEhjg==" spinCount="100000" sheet="1" objects="1" scenarios="1" selectLockedCells="1" selectUnlockedCells="1"/>
  <dataValidations count="1">
    <dataValidation type="list" showInputMessage="1" showErrorMessage="1" sqref="B2" xr:uid="{5533282D-A8BA-4EA7-9E19-8D7BB0B76C95}">
      <formula1>$M$3:$P$3</formula1>
    </dataValidation>
  </dataValidation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DA7BD7-40C0-4B56-A6A5-9519AE1DE572}">
  <sheetPr codeName="Sheet37"/>
  <dimension ref="A1:E186"/>
  <sheetViews>
    <sheetView zoomScale="85" zoomScaleNormal="85" workbookViewId="0">
      <selection sqref="A1:XFD1048576"/>
    </sheetView>
  </sheetViews>
  <sheetFormatPr defaultRowHeight="14.25"/>
  <cols>
    <col min="1" max="1" width="84.25" style="30" bestFit="1" customWidth="1"/>
    <col min="2" max="2" width="79.125" style="30" bestFit="1" customWidth="1"/>
    <col min="3" max="3" width="20.125" style="42" customWidth="1"/>
    <col min="4" max="4" width="42.125" style="30" bestFit="1" customWidth="1"/>
    <col min="5" max="16384" width="9" style="30"/>
  </cols>
  <sheetData>
    <row r="1" spans="1:5" s="1379" customFormat="1" ht="63">
      <c r="A1" s="1376" t="s">
        <v>3912</v>
      </c>
      <c r="B1" s="1376" t="s">
        <v>3913</v>
      </c>
      <c r="C1" s="1377" t="s">
        <v>3911</v>
      </c>
      <c r="D1" s="1378" t="s">
        <v>4269</v>
      </c>
      <c r="E1" s="30"/>
    </row>
    <row r="2" spans="1:5">
      <c r="A2" s="30" t="s">
        <v>985</v>
      </c>
      <c r="B2" s="30" t="s">
        <v>3886</v>
      </c>
      <c r="C2" s="42">
        <v>5.1040409437033758E-2</v>
      </c>
    </row>
    <row r="3" spans="1:5">
      <c r="A3" s="30" t="s">
        <v>1651</v>
      </c>
      <c r="B3" s="30" t="s">
        <v>3892</v>
      </c>
      <c r="C3" s="42">
        <v>7.990387797281108E-2</v>
      </c>
    </row>
    <row r="4" spans="1:5">
      <c r="A4" s="30" t="s">
        <v>802</v>
      </c>
      <c r="B4" s="30" t="s">
        <v>3829</v>
      </c>
      <c r="C4" s="42">
        <v>0.18357870343512098</v>
      </c>
    </row>
    <row r="5" spans="1:5">
      <c r="A5" s="30" t="s">
        <v>960</v>
      </c>
      <c r="B5" s="30" t="s">
        <v>3879</v>
      </c>
      <c r="C5" s="42">
        <v>2.5908728671845224E-2</v>
      </c>
    </row>
    <row r="6" spans="1:5">
      <c r="A6" s="30" t="s">
        <v>681</v>
      </c>
      <c r="B6" s="30" t="s">
        <v>3809</v>
      </c>
      <c r="C6" s="42">
        <v>0.17841151165367372</v>
      </c>
    </row>
    <row r="7" spans="1:5">
      <c r="A7" s="30" t="s">
        <v>626</v>
      </c>
      <c r="B7" s="30" t="s">
        <v>3797</v>
      </c>
      <c r="C7" s="42">
        <v>0.91182658241602332</v>
      </c>
    </row>
    <row r="8" spans="1:5">
      <c r="A8" s="30" t="s">
        <v>441</v>
      </c>
      <c r="B8" s="30" t="s">
        <v>3756</v>
      </c>
      <c r="C8" s="42">
        <v>0.28259786835996981</v>
      </c>
    </row>
    <row r="9" spans="1:5">
      <c r="A9" s="30" t="s">
        <v>466</v>
      </c>
      <c r="B9" s="30" t="s">
        <v>3761</v>
      </c>
      <c r="C9" s="42">
        <v>0.87330696027888088</v>
      </c>
    </row>
    <row r="10" spans="1:5">
      <c r="A10" s="30" t="s">
        <v>511</v>
      </c>
      <c r="B10" s="30" t="s">
        <v>3772</v>
      </c>
      <c r="C10" s="42">
        <v>0.1122367954298099</v>
      </c>
    </row>
    <row r="11" spans="1:5">
      <c r="A11" s="30" t="s">
        <v>649</v>
      </c>
      <c r="B11" s="30" t="s">
        <v>3802</v>
      </c>
      <c r="C11" s="42">
        <v>0.22476480370445998</v>
      </c>
    </row>
    <row r="12" spans="1:5">
      <c r="A12" s="30" t="s">
        <v>988</v>
      </c>
      <c r="B12" s="30" t="s">
        <v>3887</v>
      </c>
      <c r="C12" s="42">
        <v>9.7224280655303433E-2</v>
      </c>
    </row>
    <row r="13" spans="1:5">
      <c r="A13" s="30" t="s">
        <v>736</v>
      </c>
      <c r="B13" s="30" t="s">
        <v>3818</v>
      </c>
      <c r="C13" s="42">
        <v>7.6061902574695153E-2</v>
      </c>
    </row>
    <row r="14" spans="1:5">
      <c r="A14" s="30" t="s">
        <v>883</v>
      </c>
      <c r="B14" s="30" t="s">
        <v>3846</v>
      </c>
      <c r="C14" s="42">
        <v>0.10458992791546914</v>
      </c>
    </row>
    <row r="15" spans="1:5">
      <c r="A15" s="30" t="s">
        <v>970</v>
      </c>
      <c r="B15" s="30" t="s">
        <v>3881</v>
      </c>
      <c r="C15" s="42">
        <v>0.10351735071676278</v>
      </c>
    </row>
    <row r="16" spans="1:5">
      <c r="A16" s="30" t="s">
        <v>1099</v>
      </c>
      <c r="B16" s="30" t="s">
        <v>3909</v>
      </c>
      <c r="C16" s="42">
        <v>0.84351110652189398</v>
      </c>
    </row>
    <row r="17" spans="1:3">
      <c r="A17" s="30" t="s">
        <v>474</v>
      </c>
      <c r="B17" s="30" t="s">
        <v>3763</v>
      </c>
      <c r="C17" s="42">
        <v>0.28386354216361959</v>
      </c>
    </row>
    <row r="18" spans="1:3">
      <c r="A18" s="30" t="s">
        <v>550</v>
      </c>
      <c r="B18" s="30" t="s">
        <v>3781</v>
      </c>
      <c r="C18" s="42">
        <v>0.94789181700745229</v>
      </c>
    </row>
    <row r="19" spans="1:3">
      <c r="A19" s="30" t="s">
        <v>486</v>
      </c>
      <c r="B19" s="30" t="s">
        <v>3765</v>
      </c>
      <c r="C19" s="42">
        <v>0.21775735726786752</v>
      </c>
    </row>
    <row r="20" spans="1:3">
      <c r="A20" s="30" t="s">
        <v>653</v>
      </c>
      <c r="B20" s="30" t="s">
        <v>3803</v>
      </c>
      <c r="C20" s="42">
        <v>0.26143061380828253</v>
      </c>
    </row>
    <row r="21" spans="1:3">
      <c r="A21" s="30" t="s">
        <v>887</v>
      </c>
      <c r="B21" s="30" t="s">
        <v>3847</v>
      </c>
      <c r="C21" s="42">
        <v>8.8082618697473317E-2</v>
      </c>
    </row>
    <row r="22" spans="1:3">
      <c r="A22" s="30" t="s">
        <v>1016</v>
      </c>
      <c r="B22" s="30" t="s">
        <v>3898</v>
      </c>
      <c r="C22" s="42">
        <v>0.10157431237502258</v>
      </c>
    </row>
    <row r="23" spans="1:3">
      <c r="A23" s="30" t="s">
        <v>924</v>
      </c>
      <c r="B23" s="30" t="s">
        <v>3868</v>
      </c>
      <c r="C23" s="42">
        <v>9.2676347630373926E-2</v>
      </c>
    </row>
    <row r="24" spans="1:3">
      <c r="A24" s="30" t="s">
        <v>350</v>
      </c>
      <c r="B24" s="30" t="s">
        <v>3740</v>
      </c>
      <c r="C24" s="42">
        <v>2.7093040936204345</v>
      </c>
    </row>
    <row r="25" spans="1:3">
      <c r="A25" s="30" t="s">
        <v>604</v>
      </c>
      <c r="B25" s="30" t="s">
        <v>3792</v>
      </c>
      <c r="C25" s="42">
        <v>0.96153400661189647</v>
      </c>
    </row>
    <row r="26" spans="1:3">
      <c r="A26" s="30" t="s">
        <v>598</v>
      </c>
      <c r="B26" s="30" t="s">
        <v>3790</v>
      </c>
      <c r="C26" s="42">
        <v>0.39325359968995316</v>
      </c>
    </row>
    <row r="27" spans="1:3">
      <c r="A27" s="30" t="s">
        <v>896</v>
      </c>
      <c r="B27" s="30" t="s">
        <v>3851</v>
      </c>
      <c r="C27" s="42">
        <v>0.13978711492247869</v>
      </c>
    </row>
    <row r="28" spans="1:3">
      <c r="A28" s="30" t="s">
        <v>374</v>
      </c>
      <c r="B28" s="30" t="s">
        <v>3746</v>
      </c>
      <c r="C28" s="42">
        <v>0.74426651982932934</v>
      </c>
    </row>
    <row r="29" spans="1:3">
      <c r="A29" s="30" t="s">
        <v>668</v>
      </c>
      <c r="B29" s="30" t="s">
        <v>3807</v>
      </c>
      <c r="C29" s="42">
        <v>0.35547450244075307</v>
      </c>
    </row>
    <row r="30" spans="1:3">
      <c r="A30" s="30" t="s">
        <v>1032</v>
      </c>
      <c r="B30" s="30" t="s">
        <v>1032</v>
      </c>
      <c r="C30" s="42">
        <v>18.042957150748691</v>
      </c>
    </row>
    <row r="31" spans="1:3">
      <c r="A31" s="30" t="s">
        <v>975</v>
      </c>
      <c r="B31" s="30" t="s">
        <v>3883</v>
      </c>
      <c r="C31" s="42">
        <v>9.9869019288866004E-2</v>
      </c>
    </row>
    <row r="32" spans="1:3">
      <c r="A32" s="30" t="s">
        <v>692</v>
      </c>
      <c r="B32" s="30" t="s">
        <v>3811</v>
      </c>
      <c r="C32" s="42">
        <v>0.1519375117896565</v>
      </c>
    </row>
    <row r="33" spans="1:3">
      <c r="A33" s="30" t="s">
        <v>731</v>
      </c>
      <c r="B33" s="30" t="s">
        <v>3817</v>
      </c>
      <c r="C33" s="42">
        <v>8.9608670602305124E-2</v>
      </c>
    </row>
    <row r="34" spans="1:3">
      <c r="A34" s="30" t="s">
        <v>726</v>
      </c>
      <c r="B34" s="30" t="s">
        <v>3816</v>
      </c>
      <c r="C34" s="42">
        <v>8.5016001075034667E-2</v>
      </c>
    </row>
    <row r="35" spans="1:3">
      <c r="A35" s="30" t="s">
        <v>994</v>
      </c>
      <c r="B35" s="30" t="s">
        <v>3889</v>
      </c>
      <c r="C35" s="42">
        <v>8.6852900020517862E-2</v>
      </c>
    </row>
    <row r="36" spans="1:3">
      <c r="A36" s="30" t="s">
        <v>973</v>
      </c>
      <c r="B36" s="30" t="s">
        <v>3882</v>
      </c>
      <c r="C36" s="42">
        <v>9.5335778944943592E-2</v>
      </c>
    </row>
    <row r="37" spans="1:3">
      <c r="A37" s="30" t="s">
        <v>533</v>
      </c>
      <c r="B37" s="30" t="s">
        <v>3778</v>
      </c>
      <c r="C37" s="42">
        <v>0.37557390385625394</v>
      </c>
    </row>
    <row r="38" spans="1:3">
      <c r="A38" s="30" t="s">
        <v>1647</v>
      </c>
      <c r="B38" s="30" t="s">
        <v>3861</v>
      </c>
      <c r="C38" s="42">
        <v>0.29607438888046844</v>
      </c>
    </row>
    <row r="39" spans="1:3">
      <c r="A39" s="30" t="s">
        <v>646</v>
      </c>
      <c r="B39" s="30" t="s">
        <v>3801</v>
      </c>
      <c r="C39" s="42">
        <v>0.20726801262309477</v>
      </c>
    </row>
    <row r="40" spans="1:3">
      <c r="A40" s="30" t="s">
        <v>459</v>
      </c>
      <c r="B40" s="30" t="s">
        <v>3760</v>
      </c>
      <c r="C40" s="42">
        <v>0.70770364549558396</v>
      </c>
    </row>
    <row r="41" spans="1:3">
      <c r="A41" s="30" t="s">
        <v>935</v>
      </c>
      <c r="B41" s="30" t="s">
        <v>3872</v>
      </c>
      <c r="C41" s="42">
        <v>9.5265356997078082E-2</v>
      </c>
    </row>
    <row r="42" spans="1:3">
      <c r="A42" s="30" t="s">
        <v>1642</v>
      </c>
      <c r="B42" s="30" t="s">
        <v>3856</v>
      </c>
      <c r="C42" s="42">
        <v>0.84013965909058808</v>
      </c>
    </row>
    <row r="43" spans="1:3">
      <c r="A43" s="30" t="s">
        <v>870</v>
      </c>
      <c r="B43" s="30" t="s">
        <v>3842</v>
      </c>
      <c r="C43" s="42">
        <v>8.3090886937079472E-2</v>
      </c>
    </row>
    <row r="44" spans="1:3">
      <c r="A44" s="30" t="s">
        <v>760</v>
      </c>
      <c r="B44" s="30" t="s">
        <v>3822</v>
      </c>
      <c r="C44" s="42">
        <v>0.16546328018089171</v>
      </c>
    </row>
    <row r="45" spans="1:3">
      <c r="A45" s="30" t="s">
        <v>767</v>
      </c>
      <c r="B45" s="30" t="s">
        <v>3824</v>
      </c>
      <c r="C45" s="42">
        <v>0.14898203191532886</v>
      </c>
    </row>
    <row r="46" spans="1:3">
      <c r="A46" s="30" t="s">
        <v>1102</v>
      </c>
      <c r="B46" s="30" t="s">
        <v>3910</v>
      </c>
      <c r="C46" s="42">
        <v>0.84351110652189398</v>
      </c>
    </row>
    <row r="47" spans="1:3">
      <c r="A47" s="30" t="s">
        <v>901</v>
      </c>
      <c r="B47" s="30" t="s">
        <v>3853</v>
      </c>
      <c r="C47" s="42">
        <v>8.9748819258554921E-2</v>
      </c>
    </row>
    <row r="48" spans="1:3">
      <c r="A48" s="30" t="s">
        <v>1031</v>
      </c>
      <c r="B48" s="30" t="s">
        <v>3903</v>
      </c>
      <c r="C48" s="42">
        <v>0.17222753317781581</v>
      </c>
    </row>
    <row r="49" spans="1:3">
      <c r="A49" s="30" t="s">
        <v>1013</v>
      </c>
      <c r="B49" s="30" t="s">
        <v>3897</v>
      </c>
      <c r="C49" s="42">
        <v>4.6594288466174652E-2</v>
      </c>
    </row>
    <row r="50" spans="1:3">
      <c r="A50" s="30" t="s">
        <v>709</v>
      </c>
      <c r="B50" s="30" t="s">
        <v>3814</v>
      </c>
      <c r="C50" s="42">
        <v>0.19604619931334985</v>
      </c>
    </row>
    <row r="51" spans="1:3">
      <c r="A51" s="30" t="s">
        <v>498</v>
      </c>
      <c r="B51" s="30" t="s">
        <v>3768</v>
      </c>
      <c r="C51" s="42">
        <v>0.49816299180115869</v>
      </c>
    </row>
    <row r="52" spans="1:3">
      <c r="A52" s="30" t="s">
        <v>1010</v>
      </c>
      <c r="B52" s="30" t="s">
        <v>3896</v>
      </c>
      <c r="C52" s="42">
        <v>0.18151323473441147</v>
      </c>
    </row>
    <row r="53" spans="1:3">
      <c r="A53" s="30" t="s">
        <v>495</v>
      </c>
      <c r="B53" s="30" t="s">
        <v>3767</v>
      </c>
      <c r="C53" s="42">
        <v>0.64777454226298636</v>
      </c>
    </row>
    <row r="54" spans="1:3">
      <c r="A54" s="30" t="s">
        <v>364</v>
      </c>
      <c r="B54" s="30" t="s">
        <v>89</v>
      </c>
      <c r="C54" s="42">
        <v>0.15123438834904507</v>
      </c>
    </row>
    <row r="55" spans="1:3">
      <c r="A55" s="30" t="s">
        <v>640</v>
      </c>
      <c r="B55" s="30" t="s">
        <v>3800</v>
      </c>
      <c r="C55" s="42">
        <v>0.40129398023863294</v>
      </c>
    </row>
    <row r="56" spans="1:3">
      <c r="A56" s="30" t="s">
        <v>636</v>
      </c>
      <c r="B56" s="30" t="s">
        <v>3799</v>
      </c>
      <c r="C56" s="42">
        <v>0.46264689217818089</v>
      </c>
    </row>
    <row r="57" spans="1:3">
      <c r="A57" s="30" t="s">
        <v>341</v>
      </c>
      <c r="B57" s="30" t="s">
        <v>3737</v>
      </c>
      <c r="C57" s="42">
        <v>0.51178627603681748</v>
      </c>
    </row>
    <row r="58" spans="1:3">
      <c r="A58" s="30" t="s">
        <v>455</v>
      </c>
      <c r="B58" s="30" t="s">
        <v>3759</v>
      </c>
      <c r="C58" s="42">
        <v>0.3515497272629019</v>
      </c>
    </row>
    <row r="59" spans="1:3">
      <c r="A59" s="30" t="s">
        <v>894</v>
      </c>
      <c r="B59" s="30" t="s">
        <v>3850</v>
      </c>
      <c r="C59" s="42">
        <v>0.1852876399452234</v>
      </c>
    </row>
    <row r="60" spans="1:3">
      <c r="A60" s="30" t="s">
        <v>1643</v>
      </c>
      <c r="B60" s="30" t="s">
        <v>3857</v>
      </c>
      <c r="C60" s="42">
        <v>0.61301120062175607</v>
      </c>
    </row>
    <row r="61" spans="1:3">
      <c r="A61" s="30" t="s">
        <v>899</v>
      </c>
      <c r="B61" s="30" t="s">
        <v>3852</v>
      </c>
      <c r="C61" s="42">
        <v>0.14608494602854927</v>
      </c>
    </row>
    <row r="62" spans="1:3">
      <c r="A62" s="30" t="s">
        <v>601</v>
      </c>
      <c r="B62" s="30" t="s">
        <v>3791</v>
      </c>
      <c r="C62" s="42">
        <v>0.5215272934117785</v>
      </c>
    </row>
    <row r="63" spans="1:3">
      <c r="A63" s="30" t="s">
        <v>445</v>
      </c>
      <c r="B63" s="30" t="s">
        <v>3757</v>
      </c>
      <c r="C63" s="42">
        <v>0.43172671035390303</v>
      </c>
    </row>
    <row r="64" spans="1:3">
      <c r="A64" s="30" t="s">
        <v>344</v>
      </c>
      <c r="B64" s="30" t="s">
        <v>3738</v>
      </c>
      <c r="C64" s="42">
        <v>0.32207045223992981</v>
      </c>
    </row>
    <row r="65" spans="1:3">
      <c r="A65" s="30" t="s">
        <v>873</v>
      </c>
      <c r="B65" s="30" t="s">
        <v>3843</v>
      </c>
      <c r="C65" s="42">
        <v>0.1394347042932732</v>
      </c>
    </row>
    <row r="66" spans="1:3">
      <c r="A66" s="30" t="s">
        <v>890</v>
      </c>
      <c r="B66" s="30" t="s">
        <v>3848</v>
      </c>
      <c r="C66" s="42">
        <v>0.16017125530488893</v>
      </c>
    </row>
    <row r="67" spans="1:3">
      <c r="A67" s="30" t="s">
        <v>658</v>
      </c>
      <c r="B67" s="30" t="s">
        <v>3804</v>
      </c>
      <c r="C67" s="42">
        <v>0.17693815070269164</v>
      </c>
    </row>
    <row r="68" spans="1:3">
      <c r="A68" s="30" t="s">
        <v>892</v>
      </c>
      <c r="B68" s="30" t="s">
        <v>3849</v>
      </c>
      <c r="C68" s="42">
        <v>0.13142710647710371</v>
      </c>
    </row>
    <row r="69" spans="1:3">
      <c r="A69" s="30" t="s">
        <v>1639</v>
      </c>
      <c r="B69" s="30" t="s">
        <v>3755</v>
      </c>
      <c r="C69" s="42">
        <v>0.23585781525796312</v>
      </c>
    </row>
    <row r="70" spans="1:3">
      <c r="A70" s="30" t="s">
        <v>822</v>
      </c>
      <c r="B70" s="30" t="s">
        <v>3833</v>
      </c>
      <c r="C70" s="42">
        <v>0.18905828504424835</v>
      </c>
    </row>
    <row r="71" spans="1:3">
      <c r="A71" s="30" t="s">
        <v>764</v>
      </c>
      <c r="B71" s="30" t="s">
        <v>3823</v>
      </c>
      <c r="C71" s="42">
        <v>0.14320652718436636</v>
      </c>
    </row>
    <row r="72" spans="1:3">
      <c r="A72" s="30" t="s">
        <v>862</v>
      </c>
      <c r="B72" s="30" t="s">
        <v>3840</v>
      </c>
      <c r="C72" s="42">
        <v>7.2844888134668287E-2</v>
      </c>
    </row>
    <row r="73" spans="1:3">
      <c r="A73" s="30" t="s">
        <v>687</v>
      </c>
      <c r="B73" s="30" t="s">
        <v>3810</v>
      </c>
      <c r="C73" s="42">
        <v>0.15770855760025318</v>
      </c>
    </row>
    <row r="74" spans="1:3">
      <c r="A74" s="30" t="s">
        <v>963</v>
      </c>
      <c r="B74" s="30" t="s">
        <v>3880</v>
      </c>
      <c r="C74" s="42">
        <v>0.19638685353411536</v>
      </c>
    </row>
    <row r="75" spans="1:3">
      <c r="A75" s="30" t="s">
        <v>957</v>
      </c>
      <c r="B75" s="30" t="s">
        <v>3878</v>
      </c>
      <c r="C75" s="42">
        <v>3.2030029317057257E-2</v>
      </c>
    </row>
    <row r="76" spans="1:3">
      <c r="A76" s="30" t="s">
        <v>1021</v>
      </c>
      <c r="B76" s="30" t="s">
        <v>3900</v>
      </c>
      <c r="C76" s="42">
        <v>6.7519546947366629E-2</v>
      </c>
    </row>
    <row r="77" spans="1:3">
      <c r="A77" s="30" t="s">
        <v>620</v>
      </c>
      <c r="B77" s="30" t="s">
        <v>3795</v>
      </c>
      <c r="C77" s="42">
        <v>0.87565666222288985</v>
      </c>
    </row>
    <row r="78" spans="1:3">
      <c r="A78" s="30" t="s">
        <v>514</v>
      </c>
      <c r="B78" s="30" t="s">
        <v>3773</v>
      </c>
      <c r="C78" s="42">
        <v>0.26280814447919126</v>
      </c>
    </row>
    <row r="79" spans="1:3">
      <c r="A79" s="30" t="s">
        <v>982</v>
      </c>
      <c r="B79" s="30" t="s">
        <v>3885</v>
      </c>
      <c r="C79" s="42">
        <v>3.449646633762745E-2</v>
      </c>
    </row>
    <row r="80" spans="1:3">
      <c r="A80" s="30" t="s">
        <v>978</v>
      </c>
      <c r="B80" s="30" t="s">
        <v>3884</v>
      </c>
      <c r="C80" s="42">
        <v>4.9060407076315114E-2</v>
      </c>
    </row>
    <row r="81" spans="1:3">
      <c r="A81" s="30" t="s">
        <v>3733</v>
      </c>
      <c r="B81" s="30" t="s">
        <v>3733</v>
      </c>
      <c r="C81" s="42">
        <v>4.2927895840233905</v>
      </c>
    </row>
    <row r="82" spans="1:3">
      <c r="A82" s="30" t="s">
        <v>610</v>
      </c>
      <c r="B82" s="30" t="s">
        <v>3793</v>
      </c>
      <c r="C82" s="42">
        <v>1.4140889217241495</v>
      </c>
    </row>
    <row r="83" spans="1:3">
      <c r="A83" s="30" t="s">
        <v>664</v>
      </c>
      <c r="B83" s="30" t="s">
        <v>3806</v>
      </c>
      <c r="C83" s="42">
        <v>0.23958641643871489</v>
      </c>
    </row>
    <row r="84" spans="1:3">
      <c r="A84" s="30" t="s">
        <v>865</v>
      </c>
      <c r="B84" s="30" t="s">
        <v>3841</v>
      </c>
      <c r="C84" s="42">
        <v>0.10054321369470946</v>
      </c>
    </row>
    <row r="85" spans="1:3">
      <c r="A85" s="30" t="s">
        <v>1653</v>
      </c>
      <c r="B85" s="30" t="s">
        <v>3894</v>
      </c>
      <c r="C85" s="42">
        <v>7.6518824601260527E-2</v>
      </c>
    </row>
    <row r="86" spans="1:3">
      <c r="A86" s="30" t="s">
        <v>1649</v>
      </c>
      <c r="B86" s="30" t="s">
        <v>3890</v>
      </c>
      <c r="C86" s="42">
        <v>7.6336099837735427E-2</v>
      </c>
    </row>
    <row r="87" spans="1:3">
      <c r="A87" s="30" t="s">
        <v>757</v>
      </c>
      <c r="B87" s="30" t="s">
        <v>3821</v>
      </c>
      <c r="C87" s="42">
        <v>5.928897157100621E-2</v>
      </c>
    </row>
    <row r="88" spans="1:3">
      <c r="A88" s="30" t="s">
        <v>838</v>
      </c>
      <c r="B88" s="30" t="s">
        <v>3836</v>
      </c>
      <c r="C88" s="42">
        <v>0.13236007266134769</v>
      </c>
    </row>
    <row r="89" spans="1:3">
      <c r="A89" s="30" t="s">
        <v>377</v>
      </c>
      <c r="B89" s="30" t="s">
        <v>3747</v>
      </c>
      <c r="C89" s="42">
        <v>0.4847240511035022</v>
      </c>
    </row>
    <row r="90" spans="1:3">
      <c r="A90" s="30" t="s">
        <v>702</v>
      </c>
      <c r="B90" s="30" t="s">
        <v>3813</v>
      </c>
      <c r="C90" s="42">
        <v>0.19224868474261997</v>
      </c>
    </row>
    <row r="91" spans="1:3">
      <c r="A91" s="30" t="s">
        <v>944</v>
      </c>
      <c r="B91" s="30" t="s">
        <v>3874</v>
      </c>
      <c r="C91" s="42">
        <v>5.210589944559129E-2</v>
      </c>
    </row>
    <row r="92" spans="1:3">
      <c r="A92" s="30" t="s">
        <v>915</v>
      </c>
      <c r="B92" s="30" t="s">
        <v>3865</v>
      </c>
      <c r="C92" s="42">
        <v>5.1153030971859692E-2</v>
      </c>
    </row>
    <row r="93" spans="1:3">
      <c r="A93" s="30" t="s">
        <v>854</v>
      </c>
      <c r="B93" s="30" t="s">
        <v>3838</v>
      </c>
      <c r="C93" s="42">
        <v>0.1003622436779939</v>
      </c>
    </row>
    <row r="94" spans="1:3">
      <c r="A94" s="30" t="s">
        <v>786</v>
      </c>
      <c r="B94" s="30" t="s">
        <v>3827</v>
      </c>
      <c r="C94" s="42">
        <v>0.17035056850156868</v>
      </c>
    </row>
    <row r="95" spans="1:3">
      <c r="A95" s="30" t="s">
        <v>781</v>
      </c>
      <c r="B95" s="30" t="s">
        <v>3826</v>
      </c>
      <c r="C95" s="42">
        <v>0.24627628136883406</v>
      </c>
    </row>
    <row r="96" spans="1:3">
      <c r="A96" s="30" t="s">
        <v>792</v>
      </c>
      <c r="B96" s="30" t="s">
        <v>3828</v>
      </c>
      <c r="C96" s="42">
        <v>0.28259855488754793</v>
      </c>
    </row>
    <row r="97" spans="1:3">
      <c r="A97" s="30" t="s">
        <v>392</v>
      </c>
      <c r="B97" s="30" t="s">
        <v>3750</v>
      </c>
      <c r="C97" s="42">
        <v>0.56545636459237858</v>
      </c>
    </row>
    <row r="98" spans="1:3">
      <c r="A98" s="30" t="s">
        <v>745</v>
      </c>
      <c r="B98" s="30" t="s">
        <v>3820</v>
      </c>
      <c r="C98" s="42">
        <v>8.5639702923242425E-2</v>
      </c>
    </row>
    <row r="99" spans="1:3">
      <c r="A99" s="30" t="s">
        <v>905</v>
      </c>
      <c r="B99" s="30" t="s">
        <v>3863</v>
      </c>
      <c r="C99" s="42">
        <v>9.8968705995702788E-2</v>
      </c>
    </row>
    <row r="100" spans="1:3">
      <c r="A100" s="30" t="s">
        <v>947</v>
      </c>
      <c r="B100" s="30" t="s">
        <v>3875</v>
      </c>
      <c r="C100" s="42">
        <v>6.2699615391574273E-2</v>
      </c>
    </row>
    <row r="101" spans="1:3">
      <c r="A101" s="30" t="s">
        <v>631</v>
      </c>
      <c r="B101" s="30" t="s">
        <v>3798</v>
      </c>
      <c r="C101" s="42">
        <v>0.45052981852705776</v>
      </c>
    </row>
    <row r="102" spans="1:3">
      <c r="A102" s="30" t="s">
        <v>382</v>
      </c>
      <c r="B102" s="30" t="s">
        <v>3748</v>
      </c>
      <c r="C102" s="42">
        <v>0.26452040277196848</v>
      </c>
    </row>
    <row r="103" spans="1:3">
      <c r="A103" s="30" t="s">
        <v>403</v>
      </c>
      <c r="B103" s="30" t="s">
        <v>3753</v>
      </c>
      <c r="C103" s="42">
        <v>0.20463545150551543</v>
      </c>
    </row>
    <row r="104" spans="1:3">
      <c r="A104" s="30" t="s">
        <v>1007</v>
      </c>
      <c r="B104" s="30" t="s">
        <v>3895</v>
      </c>
      <c r="C104" s="42">
        <v>9.1370075375055093E-2</v>
      </c>
    </row>
    <row r="105" spans="1:3">
      <c r="A105" s="30" t="s">
        <v>830</v>
      </c>
      <c r="B105" s="30" t="s">
        <v>3834</v>
      </c>
      <c r="C105" s="42">
        <v>0.22219265463185472</v>
      </c>
    </row>
    <row r="106" spans="1:3">
      <c r="A106" s="30" t="s">
        <v>1042</v>
      </c>
      <c r="B106" s="30" t="s">
        <v>3905</v>
      </c>
      <c r="C106" s="42">
        <v>5.3230199626021789E-2</v>
      </c>
    </row>
    <row r="107" spans="1:3">
      <c r="A107" s="30" t="s">
        <v>1045</v>
      </c>
      <c r="B107" s="30" t="s">
        <v>3906</v>
      </c>
      <c r="C107" s="42">
        <v>9.8788224914930653E-2</v>
      </c>
    </row>
    <row r="108" spans="1:3">
      <c r="A108" s="30" t="s">
        <v>1039</v>
      </c>
      <c r="B108" s="30" t="s">
        <v>3904</v>
      </c>
      <c r="C108" s="42">
        <v>7.8403567730306004E-2</v>
      </c>
    </row>
    <row r="109" spans="1:3">
      <c r="A109" s="30" t="s">
        <v>372</v>
      </c>
      <c r="B109" s="30" t="s">
        <v>3745</v>
      </c>
      <c r="C109" s="42">
        <v>0.64687192603541832</v>
      </c>
    </row>
    <row r="110" spans="1:3">
      <c r="A110" s="30" t="s">
        <v>333</v>
      </c>
      <c r="B110" s="30" t="s">
        <v>3735</v>
      </c>
      <c r="C110" s="42">
        <v>0.8067879852310843</v>
      </c>
    </row>
    <row r="111" spans="1:3">
      <c r="A111" s="30" t="s">
        <v>355</v>
      </c>
      <c r="B111" s="30" t="s">
        <v>3742</v>
      </c>
      <c r="C111" s="42">
        <v>1.1753847250806608</v>
      </c>
    </row>
    <row r="112" spans="1:3">
      <c r="A112" s="30" t="s">
        <v>579</v>
      </c>
      <c r="B112" s="30" t="s">
        <v>3787</v>
      </c>
      <c r="C112" s="42">
        <v>0.45157218783987285</v>
      </c>
    </row>
    <row r="113" spans="1:3">
      <c r="A113" s="30" t="s">
        <v>347</v>
      </c>
      <c r="B113" s="30" t="s">
        <v>3739</v>
      </c>
      <c r="C113" s="42">
        <v>0.77594533923334241</v>
      </c>
    </row>
    <row r="114" spans="1:3">
      <c r="A114" s="30" t="s">
        <v>855</v>
      </c>
      <c r="B114" s="30" t="s">
        <v>855</v>
      </c>
      <c r="C114" s="42">
        <v>13.888985547600251</v>
      </c>
    </row>
    <row r="115" spans="1:3">
      <c r="A115" s="30" t="s">
        <v>1034</v>
      </c>
      <c r="B115" s="30" t="s">
        <v>1034</v>
      </c>
      <c r="C115" s="42">
        <v>13.917715364982449</v>
      </c>
    </row>
    <row r="116" spans="1:3">
      <c r="A116" s="30" t="s">
        <v>773</v>
      </c>
      <c r="B116" s="30" t="s">
        <v>3825</v>
      </c>
      <c r="C116" s="42">
        <v>0.18790288127690313</v>
      </c>
    </row>
    <row r="117" spans="1:3">
      <c r="A117" s="30" t="s">
        <v>671</v>
      </c>
      <c r="B117" s="30" t="s">
        <v>3808</v>
      </c>
      <c r="C117" s="42">
        <v>0.17739061857726438</v>
      </c>
    </row>
    <row r="118" spans="1:3">
      <c r="A118" s="30" t="s">
        <v>953</v>
      </c>
      <c r="B118" s="30" t="s">
        <v>3877</v>
      </c>
      <c r="C118" s="42">
        <v>5.7767771287606011E-2</v>
      </c>
    </row>
    <row r="119" spans="1:3">
      <c r="A119" s="30" t="s">
        <v>479</v>
      </c>
      <c r="B119" s="30" t="s">
        <v>3764</v>
      </c>
      <c r="C119" s="42">
        <v>0.32627060870537666</v>
      </c>
    </row>
    <row r="120" spans="1:3">
      <c r="A120" s="30" t="s">
        <v>835</v>
      </c>
      <c r="B120" s="30" t="s">
        <v>3835</v>
      </c>
      <c r="C120" s="42">
        <v>0.15968740740460041</v>
      </c>
    </row>
    <row r="121" spans="1:3">
      <c r="A121" s="30" t="s">
        <v>715</v>
      </c>
      <c r="B121" s="30" t="s">
        <v>3815</v>
      </c>
      <c r="C121" s="42">
        <v>0.19168941784695961</v>
      </c>
    </row>
    <row r="122" spans="1:3">
      <c r="A122" s="30" t="s">
        <v>938</v>
      </c>
      <c r="B122" s="30" t="s">
        <v>3873</v>
      </c>
      <c r="C122" s="42">
        <v>6.6167778490209592E-2</v>
      </c>
    </row>
    <row r="123" spans="1:3">
      <c r="A123" s="30" t="s">
        <v>845</v>
      </c>
      <c r="B123" s="30" t="s">
        <v>3837</v>
      </c>
      <c r="C123" s="42">
        <v>0.16782966789096548</v>
      </c>
    </row>
    <row r="124" spans="1:3">
      <c r="A124" s="30" t="s">
        <v>866</v>
      </c>
      <c r="B124" s="30" t="s">
        <v>866</v>
      </c>
      <c r="C124" s="42">
        <v>18.55743869165811</v>
      </c>
    </row>
    <row r="125" spans="1:3">
      <c r="A125" s="30" t="s">
        <v>613</v>
      </c>
      <c r="B125" s="30" t="s">
        <v>3794</v>
      </c>
      <c r="C125" s="42">
        <v>0.3593425731332443</v>
      </c>
    </row>
    <row r="126" spans="1:3">
      <c r="A126" s="30" t="s">
        <v>1645</v>
      </c>
      <c r="B126" s="30" t="s">
        <v>3859</v>
      </c>
      <c r="C126" s="42">
        <v>1.4877070603367648</v>
      </c>
    </row>
    <row r="127" spans="1:3">
      <c r="A127" s="30" t="s">
        <v>1652</v>
      </c>
      <c r="B127" s="30" t="s">
        <v>3893</v>
      </c>
      <c r="C127" s="42">
        <v>9.6117174860469681E-2</v>
      </c>
    </row>
    <row r="128" spans="1:3">
      <c r="A128" s="30" t="s">
        <v>966</v>
      </c>
      <c r="B128" s="30" t="s">
        <v>966</v>
      </c>
      <c r="C128" s="42">
        <v>31.670935481294688</v>
      </c>
    </row>
    <row r="129" spans="1:3">
      <c r="A129" s="30" t="s">
        <v>884</v>
      </c>
      <c r="B129" s="30" t="s">
        <v>884</v>
      </c>
      <c r="C129" s="42">
        <v>14.23997190945912</v>
      </c>
    </row>
    <row r="130" spans="1:3">
      <c r="A130" s="30" t="s">
        <v>1027</v>
      </c>
      <c r="B130" s="30" t="s">
        <v>3902</v>
      </c>
      <c r="C130" s="42">
        <v>0.11524766980660348</v>
      </c>
    </row>
    <row r="131" spans="1:3">
      <c r="A131" s="30" t="s">
        <v>932</v>
      </c>
      <c r="B131" s="30" t="s">
        <v>3871</v>
      </c>
      <c r="C131" s="42">
        <v>7.7141729318222704E-2</v>
      </c>
    </row>
    <row r="132" spans="1:3">
      <c r="A132" s="30" t="s">
        <v>508</v>
      </c>
      <c r="B132" s="30" t="s">
        <v>3771</v>
      </c>
      <c r="C132" s="42">
        <v>0.23836246596716806</v>
      </c>
    </row>
    <row r="133" spans="1:3">
      <c r="A133" s="30" t="s">
        <v>1644</v>
      </c>
      <c r="B133" s="30" t="s">
        <v>3858</v>
      </c>
      <c r="C133" s="42">
        <v>0.56258724703301022</v>
      </c>
    </row>
    <row r="134" spans="1:3">
      <c r="A134" s="30" t="s">
        <v>817</v>
      </c>
      <c r="B134" s="30" t="s">
        <v>3832</v>
      </c>
      <c r="C134" s="42">
        <v>0.2645432506047396</v>
      </c>
    </row>
    <row r="135" spans="1:3">
      <c r="A135" s="30" t="s">
        <v>523</v>
      </c>
      <c r="B135" s="30" t="s">
        <v>3776</v>
      </c>
      <c r="C135" s="42">
        <v>0.18062885205933349</v>
      </c>
    </row>
    <row r="136" spans="1:3">
      <c r="A136" s="30" t="s">
        <v>1048</v>
      </c>
      <c r="B136" s="30" t="s">
        <v>3907</v>
      </c>
      <c r="C136" s="42">
        <v>9.0493636490256324E-2</v>
      </c>
    </row>
    <row r="137" spans="1:3">
      <c r="A137" s="30" t="s">
        <v>571</v>
      </c>
      <c r="B137" s="30" t="s">
        <v>3785</v>
      </c>
      <c r="C137" s="42">
        <v>0.38869719320199753</v>
      </c>
    </row>
    <row r="138" spans="1:3">
      <c r="A138" s="30" t="s">
        <v>561</v>
      </c>
      <c r="B138" s="30" t="s">
        <v>3783</v>
      </c>
      <c r="C138" s="42">
        <v>0.91580673530408829</v>
      </c>
    </row>
    <row r="139" spans="1:3">
      <c r="A139" s="30" t="s">
        <v>544</v>
      </c>
      <c r="B139" s="30" t="s">
        <v>3780</v>
      </c>
      <c r="C139" s="42">
        <v>0.5259315614215303</v>
      </c>
    </row>
    <row r="140" spans="1:3">
      <c r="A140" s="30" t="s">
        <v>876</v>
      </c>
      <c r="B140" s="30" t="s">
        <v>3844</v>
      </c>
      <c r="C140" s="42">
        <v>8.905702166160738E-2</v>
      </c>
    </row>
    <row r="141" spans="1:3">
      <c r="A141" s="30" t="s">
        <v>565</v>
      </c>
      <c r="B141" s="30" t="s">
        <v>3784</v>
      </c>
      <c r="C141" s="42">
        <v>0.14687544316686987</v>
      </c>
    </row>
    <row r="142" spans="1:3">
      <c r="A142" s="30" t="s">
        <v>584</v>
      </c>
      <c r="B142" s="30" t="s">
        <v>3788</v>
      </c>
      <c r="C142" s="42">
        <v>0.40804309612188228</v>
      </c>
    </row>
    <row r="143" spans="1:3">
      <c r="A143" s="30" t="s">
        <v>1646</v>
      </c>
      <c r="B143" s="30" t="s">
        <v>3860</v>
      </c>
      <c r="C143" s="42">
        <v>7.205521246643018E-2</v>
      </c>
    </row>
    <row r="144" spans="1:3">
      <c r="A144" s="30" t="s">
        <v>358</v>
      </c>
      <c r="B144" s="30" t="s">
        <v>3741</v>
      </c>
      <c r="C144" s="42">
        <v>0.45643853825986691</v>
      </c>
    </row>
    <row r="145" spans="1:3">
      <c r="A145" s="30" t="s">
        <v>540</v>
      </c>
      <c r="B145" s="30" t="s">
        <v>3779</v>
      </c>
      <c r="C145" s="42">
        <v>0.22334786888384645</v>
      </c>
    </row>
    <row r="146" spans="1:3">
      <c r="A146" s="30" t="s">
        <v>859</v>
      </c>
      <c r="B146" s="30" t="s">
        <v>3839</v>
      </c>
      <c r="C146" s="42">
        <v>6.5016727498690627E-2</v>
      </c>
    </row>
    <row r="147" spans="1:3">
      <c r="A147" s="30" t="s">
        <v>528</v>
      </c>
      <c r="B147" s="30" t="s">
        <v>3777</v>
      </c>
      <c r="C147" s="42">
        <v>0.73976072013633121</v>
      </c>
    </row>
    <row r="148" spans="1:3">
      <c r="A148" s="30" t="s">
        <v>921</v>
      </c>
      <c r="B148" s="30" t="s">
        <v>3867</v>
      </c>
      <c r="C148" s="42">
        <v>7.7803397214795317E-2</v>
      </c>
    </row>
    <row r="149" spans="1:3">
      <c r="A149" s="30" t="s">
        <v>1641</v>
      </c>
      <c r="B149" s="30" t="s">
        <v>3855</v>
      </c>
      <c r="C149" s="42">
        <v>0.44093628227177761</v>
      </c>
    </row>
    <row r="150" spans="1:3">
      <c r="A150" s="30" t="s">
        <v>810</v>
      </c>
      <c r="B150" s="30" t="s">
        <v>3830</v>
      </c>
      <c r="C150" s="42">
        <v>0.40974657404318326</v>
      </c>
    </row>
    <row r="151" spans="1:3">
      <c r="A151" s="30" t="s">
        <v>398</v>
      </c>
      <c r="B151" s="30" t="s">
        <v>3752</v>
      </c>
      <c r="C151" s="42">
        <v>0.19950971024409947</v>
      </c>
    </row>
    <row r="152" spans="1:3">
      <c r="A152" s="30" t="s">
        <v>556</v>
      </c>
      <c r="B152" s="30" t="s">
        <v>3782</v>
      </c>
      <c r="C152" s="42">
        <v>0.89836970528170801</v>
      </c>
    </row>
    <row r="153" spans="1:3">
      <c r="A153" s="30" t="s">
        <v>593</v>
      </c>
      <c r="B153" s="30" t="s">
        <v>3789</v>
      </c>
      <c r="C153" s="42">
        <v>0.29243348097476518</v>
      </c>
    </row>
    <row r="154" spans="1:3">
      <c r="A154" s="30" t="s">
        <v>517</v>
      </c>
      <c r="B154" s="30" t="s">
        <v>3774</v>
      </c>
      <c r="C154" s="42">
        <v>0.29911601647669256</v>
      </c>
    </row>
    <row r="155" spans="1:3">
      <c r="A155" s="30" t="s">
        <v>3734</v>
      </c>
      <c r="B155" s="30" t="s">
        <v>3734</v>
      </c>
      <c r="C155" s="42">
        <v>20.862493841357455</v>
      </c>
    </row>
    <row r="156" spans="1:3">
      <c r="A156" s="30" t="s">
        <v>1640</v>
      </c>
      <c r="B156" s="30" t="s">
        <v>3854</v>
      </c>
      <c r="C156" s="42">
        <v>0.61430175086944783</v>
      </c>
    </row>
    <row r="157" spans="1:3">
      <c r="A157" s="30" t="s">
        <v>1650</v>
      </c>
      <c r="B157" s="30" t="s">
        <v>3891</v>
      </c>
      <c r="C157" s="42">
        <v>0.14708560139184146</v>
      </c>
    </row>
    <row r="158" spans="1:3">
      <c r="A158" s="30" t="s">
        <v>471</v>
      </c>
      <c r="B158" s="30" t="s">
        <v>3762</v>
      </c>
      <c r="C158" s="42">
        <v>0.24788681568942864</v>
      </c>
    </row>
    <row r="159" spans="1:3">
      <c r="A159" s="30" t="s">
        <v>950</v>
      </c>
      <c r="B159" s="30" t="s">
        <v>3876</v>
      </c>
      <c r="C159" s="42">
        <v>3.7613747055800568E-2</v>
      </c>
    </row>
    <row r="160" spans="1:3">
      <c r="A160" s="30" t="s">
        <v>739</v>
      </c>
      <c r="B160" s="30" t="s">
        <v>3819</v>
      </c>
      <c r="C160" s="42">
        <v>0.11023682259801572</v>
      </c>
    </row>
    <row r="161" spans="1:3">
      <c r="A161" s="30" t="s">
        <v>1024</v>
      </c>
      <c r="B161" s="30" t="s">
        <v>3901</v>
      </c>
      <c r="C161" s="42">
        <v>0.19430454032725403</v>
      </c>
    </row>
    <row r="162" spans="1:3">
      <c r="A162" s="30" t="s">
        <v>813</v>
      </c>
      <c r="B162" s="30" t="s">
        <v>3831</v>
      </c>
      <c r="C162" s="42">
        <v>0.17416496246977098</v>
      </c>
    </row>
    <row r="163" spans="1:3">
      <c r="A163" s="30" t="s">
        <v>575</v>
      </c>
      <c r="B163" s="30" t="s">
        <v>3786</v>
      </c>
      <c r="C163" s="42">
        <v>0.29753215114052683</v>
      </c>
    </row>
    <row r="164" spans="1:3">
      <c r="A164" s="30" t="s">
        <v>912</v>
      </c>
      <c r="B164" s="30" t="s">
        <v>3864</v>
      </c>
      <c r="C164" s="42">
        <v>7.7457296033295958E-2</v>
      </c>
    </row>
    <row r="165" spans="1:3">
      <c r="A165" s="30" t="s">
        <v>918</v>
      </c>
      <c r="B165" s="30" t="s">
        <v>3866</v>
      </c>
      <c r="C165" s="42">
        <v>4.3823242382235297E-2</v>
      </c>
    </row>
    <row r="166" spans="1:3">
      <c r="A166" s="30" t="s">
        <v>1092</v>
      </c>
      <c r="B166" s="30" t="s">
        <v>3908</v>
      </c>
      <c r="C166" s="42">
        <v>0.2080505680046395</v>
      </c>
    </row>
    <row r="167" spans="1:3">
      <c r="A167" s="30" t="s">
        <v>991</v>
      </c>
      <c r="B167" s="30" t="s">
        <v>3888</v>
      </c>
      <c r="C167" s="42">
        <v>8.8538578902404769E-2</v>
      </c>
    </row>
    <row r="168" spans="1:3">
      <c r="A168" s="30" t="s">
        <v>661</v>
      </c>
      <c r="B168" s="30" t="s">
        <v>3805</v>
      </c>
      <c r="C168" s="42">
        <v>0.21626016473832246</v>
      </c>
    </row>
    <row r="169" spans="1:3">
      <c r="A169" s="30" t="s">
        <v>623</v>
      </c>
      <c r="B169" s="30" t="s">
        <v>3796</v>
      </c>
      <c r="C169" s="42">
        <v>0.40006026270076295</v>
      </c>
    </row>
    <row r="170" spans="1:3">
      <c r="A170" s="30" t="s">
        <v>452</v>
      </c>
      <c r="B170" s="30" t="s">
        <v>3758</v>
      </c>
      <c r="C170" s="42">
        <v>0.33534039488687023</v>
      </c>
    </row>
    <row r="171" spans="1:3">
      <c r="A171" s="30" t="s">
        <v>368</v>
      </c>
      <c r="B171" s="30" t="s">
        <v>3744</v>
      </c>
      <c r="C171" s="42">
        <v>0.37673605589818909</v>
      </c>
    </row>
    <row r="172" spans="1:3">
      <c r="A172" s="30" t="s">
        <v>387</v>
      </c>
      <c r="B172" s="30" t="s">
        <v>3749</v>
      </c>
      <c r="C172" s="42">
        <v>0.39207218597081628</v>
      </c>
    </row>
    <row r="173" spans="1:3">
      <c r="A173" s="30" t="s">
        <v>501</v>
      </c>
      <c r="B173" s="30" t="s">
        <v>3769</v>
      </c>
      <c r="C173" s="42">
        <v>0.38973956339844928</v>
      </c>
    </row>
    <row r="174" spans="1:3">
      <c r="A174" s="30" t="s">
        <v>504</v>
      </c>
      <c r="B174" s="30" t="s">
        <v>3770</v>
      </c>
      <c r="C174" s="42">
        <v>0.27482845180803916</v>
      </c>
    </row>
    <row r="175" spans="1:3">
      <c r="A175" s="30" t="s">
        <v>361</v>
      </c>
      <c r="B175" s="30" t="s">
        <v>3743</v>
      </c>
      <c r="C175" s="42">
        <v>0.23832852645087088</v>
      </c>
    </row>
    <row r="176" spans="1:3">
      <c r="A176" s="30" t="s">
        <v>492</v>
      </c>
      <c r="B176" s="30" t="s">
        <v>3766</v>
      </c>
      <c r="C176" s="42">
        <v>9.3829383926760462E-2</v>
      </c>
    </row>
    <row r="177" spans="1:3">
      <c r="A177" s="30" t="s">
        <v>1018</v>
      </c>
      <c r="B177" s="30" t="s">
        <v>3899</v>
      </c>
      <c r="C177" s="42">
        <v>8.0070878735500201E-2</v>
      </c>
    </row>
    <row r="178" spans="1:3">
      <c r="A178" s="30" t="s">
        <v>406</v>
      </c>
      <c r="B178" s="30" t="s">
        <v>3754</v>
      </c>
      <c r="C178" s="42">
        <v>0.24412718628486599</v>
      </c>
    </row>
    <row r="179" spans="1:3">
      <c r="A179" s="30" t="s">
        <v>338</v>
      </c>
      <c r="B179" s="30" t="s">
        <v>3736</v>
      </c>
      <c r="C179" s="42">
        <v>0.6613056120630999</v>
      </c>
    </row>
    <row r="180" spans="1:3">
      <c r="A180" s="30" t="s">
        <v>520</v>
      </c>
      <c r="B180" s="30" t="s">
        <v>3775</v>
      </c>
      <c r="C180" s="42">
        <v>0.23497920002412789</v>
      </c>
    </row>
    <row r="181" spans="1:3">
      <c r="A181" s="30" t="s">
        <v>697</v>
      </c>
      <c r="B181" s="30" t="s">
        <v>3812</v>
      </c>
      <c r="C181" s="42">
        <v>0.1680909658515074</v>
      </c>
    </row>
    <row r="182" spans="1:3">
      <c r="A182" s="30" t="s">
        <v>1648</v>
      </c>
      <c r="B182" s="30" t="s">
        <v>3862</v>
      </c>
      <c r="C182" s="42">
        <v>0.20617692603288112</v>
      </c>
    </row>
    <row r="183" spans="1:3">
      <c r="A183" s="30" t="s">
        <v>395</v>
      </c>
      <c r="B183" s="30" t="s">
        <v>3751</v>
      </c>
      <c r="C183" s="42">
        <v>0.61511518685400701</v>
      </c>
    </row>
    <row r="184" spans="1:3">
      <c r="A184" s="30" t="s">
        <v>879</v>
      </c>
      <c r="B184" s="30" t="s">
        <v>3845</v>
      </c>
      <c r="C184" s="42">
        <v>8.0151605572322232E-2</v>
      </c>
    </row>
    <row r="185" spans="1:3">
      <c r="A185" s="30" t="s">
        <v>926</v>
      </c>
      <c r="B185" s="30" t="s">
        <v>3869</v>
      </c>
      <c r="C185" s="42">
        <v>7.4669356955627028E-2</v>
      </c>
    </row>
    <row r="186" spans="1:3">
      <c r="A186" s="30" t="s">
        <v>929</v>
      </c>
      <c r="B186" s="30" t="s">
        <v>3870</v>
      </c>
      <c r="C186" s="42">
        <v>9.5475059328143444E-2</v>
      </c>
    </row>
  </sheetData>
  <sheetProtection algorithmName="SHA-512" hashValue="HqkB2GEzKohAvkVMXHA28/6yklu2MatmtYdub3mCKkgHnhrRJvH2dSgmVU+8hxjpQ7H07oOfK/mSHsJmR6G3TQ==" saltValue="aoXKQEj7A5P3sCaxf2k5MA==" spinCount="100000" sheet="1" objects="1" scenarios="1" selectLockedCells="1" selectUnlockedCells="1"/>
  <autoFilter ref="A1:E186" xr:uid="{25DA7BD7-40C0-4B56-A6A5-9519AE1DE572}">
    <sortState xmlns:xlrd2="http://schemas.microsoft.com/office/spreadsheetml/2017/richdata2" ref="A2:E186">
      <sortCondition ref="B1:B186"/>
    </sortState>
  </autoFilter>
  <sortState xmlns:xlrd2="http://schemas.microsoft.com/office/spreadsheetml/2017/richdata2" ref="A2:C186">
    <sortCondition ref="B2:B186"/>
  </sortState>
  <conditionalFormatting sqref="B2:B186">
    <cfRule type="duplicateValues" dxfId="0" priority="1"/>
  </conditionalFormatting>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8FCF7-3C3A-4DC5-B088-1927F6D118B2}">
  <sheetPr codeName="Sheet4">
    <tabColor rgb="FF94E494"/>
  </sheetPr>
  <dimension ref="A1:G24"/>
  <sheetViews>
    <sheetView showGridLines="0" zoomScale="96" zoomScaleNormal="96" zoomScaleSheetLayoutView="100" workbookViewId="0">
      <selection activeCell="C11" sqref="C11"/>
    </sheetView>
  </sheetViews>
  <sheetFormatPr defaultColWidth="10.5" defaultRowHeight="14.25"/>
  <cols>
    <col min="1" max="1" width="21.5" style="4" customWidth="1"/>
    <col min="2" max="2" width="49.375" style="4" customWidth="1"/>
    <col min="3" max="3" width="65.875" style="4" bestFit="1" customWidth="1"/>
    <col min="4" max="4" width="3" style="4" customWidth="1"/>
    <col min="5" max="6" width="13.125" style="4" customWidth="1"/>
    <col min="7" max="16384" width="10.5" style="4"/>
  </cols>
  <sheetData>
    <row r="1" spans="1:7" ht="102.95" customHeight="1">
      <c r="C1" s="383" t="str">
        <f>+Instructions!B2</f>
        <v>Health Care Emissions Impact Calculator-Facility</v>
      </c>
    </row>
    <row r="2" spans="1:7" ht="15" thickBot="1"/>
    <row r="3" spans="1:7" ht="18" customHeight="1">
      <c r="A3" s="1452" t="s">
        <v>1789</v>
      </c>
      <c r="B3" s="384" t="s">
        <v>1790</v>
      </c>
      <c r="C3" s="385"/>
    </row>
    <row r="4" spans="1:7" ht="18" customHeight="1">
      <c r="A4" s="1453"/>
      <c r="B4" s="387" t="s">
        <v>1791</v>
      </c>
      <c r="C4" s="388"/>
    </row>
    <row r="5" spans="1:7" ht="18" customHeight="1">
      <c r="A5" s="1453"/>
      <c r="B5" s="387" t="s">
        <v>1792</v>
      </c>
      <c r="C5" s="388"/>
    </row>
    <row r="6" spans="1:7" ht="18" customHeight="1">
      <c r="A6" s="1453"/>
      <c r="B6" s="387" t="s">
        <v>1793</v>
      </c>
      <c r="C6" s="388"/>
    </row>
    <row r="7" spans="1:7" ht="18" customHeight="1">
      <c r="A7" s="1453"/>
      <c r="B7" s="387" t="s">
        <v>1794</v>
      </c>
      <c r="C7" s="388"/>
      <c r="D7"/>
    </row>
    <row r="8" spans="1:7" ht="18" customHeight="1">
      <c r="A8" s="1453"/>
      <c r="B8" s="387" t="s">
        <v>1795</v>
      </c>
      <c r="C8" s="388"/>
      <c r="D8"/>
    </row>
    <row r="9" spans="1:7" ht="18" customHeight="1">
      <c r="A9" s="1453"/>
      <c r="B9" s="387" t="s">
        <v>1796</v>
      </c>
      <c r="C9" s="388"/>
      <c r="D9"/>
    </row>
    <row r="10" spans="1:7" ht="63" customHeight="1">
      <c r="A10" s="386"/>
      <c r="B10" s="389" t="s">
        <v>1797</v>
      </c>
      <c r="C10" s="390"/>
      <c r="E10" s="1454" t="s">
        <v>1798</v>
      </c>
      <c r="F10" s="1454"/>
      <c r="G10" s="1454"/>
    </row>
    <row r="11" spans="1:7" ht="18" customHeight="1">
      <c r="A11" s="1453" t="s">
        <v>1799</v>
      </c>
      <c r="B11" s="387" t="s">
        <v>1800</v>
      </c>
      <c r="C11" s="391"/>
      <c r="D11"/>
    </row>
    <row r="12" spans="1:7" ht="18" customHeight="1">
      <c r="A12" s="1453"/>
      <c r="B12" s="387" t="s">
        <v>1801</v>
      </c>
      <c r="C12" s="391"/>
      <c r="D12" s="392" t="s">
        <v>1737</v>
      </c>
    </row>
    <row r="13" spans="1:7" ht="18" customHeight="1">
      <c r="A13" s="1453"/>
      <c r="B13" s="387" t="s">
        <v>1802</v>
      </c>
      <c r="C13" s="391"/>
      <c r="D13"/>
    </row>
    <row r="14" spans="1:7" ht="18" customHeight="1">
      <c r="A14" s="1453"/>
      <c r="B14" s="387" t="s">
        <v>1803</v>
      </c>
      <c r="C14" s="391"/>
      <c r="D14"/>
    </row>
    <row r="15" spans="1:7" ht="18" customHeight="1">
      <c r="A15" s="1453"/>
      <c r="B15" s="387" t="s">
        <v>1804</v>
      </c>
      <c r="C15" s="391"/>
      <c r="D15"/>
    </row>
    <row r="16" spans="1:7" ht="18" customHeight="1">
      <c r="A16" s="1453"/>
      <c r="B16" s="389" t="s">
        <v>1805</v>
      </c>
      <c r="C16" s="391"/>
      <c r="D16"/>
    </row>
    <row r="17" spans="1:4" ht="18" customHeight="1">
      <c r="A17" s="1453"/>
      <c r="B17" s="387" t="s">
        <v>1806</v>
      </c>
      <c r="C17" s="391"/>
      <c r="D17" t="s">
        <v>1737</v>
      </c>
    </row>
    <row r="18" spans="1:4" ht="18" customHeight="1" thickBot="1">
      <c r="A18" s="1455"/>
      <c r="B18" s="393" t="s">
        <v>1807</v>
      </c>
      <c r="C18" s="394"/>
      <c r="D18"/>
    </row>
    <row r="19" spans="1:4" ht="15">
      <c r="A19" s="395"/>
      <c r="B19" s="369"/>
      <c r="C19" s="396"/>
      <c r="D19"/>
    </row>
    <row r="20" spans="1:4" ht="15">
      <c r="A20" s="395"/>
      <c r="B20" s="369"/>
      <c r="C20" s="397"/>
      <c r="D20"/>
    </row>
    <row r="21" spans="1:4">
      <c r="B21" s="365"/>
      <c r="C21" s="6"/>
    </row>
    <row r="22" spans="1:4">
      <c r="B22" s="398"/>
      <c r="C22" s="399"/>
    </row>
    <row r="23" spans="1:4">
      <c r="B23" s="400"/>
      <c r="C23" s="401"/>
    </row>
    <row r="24" spans="1:4">
      <c r="B24" s="402"/>
    </row>
  </sheetData>
  <sheetProtection algorithmName="SHA-512" hashValue="Dhv5PK0lEJhUgx5udAg3TjofCnNnrwb6wIXoEAL8eLbbWYz6cKUHiJD7RvNLUZdvyEiAnSZ2lN3YpwT+avvewQ==" saltValue="E1QBbykB6DugnnWYobEpCA==" spinCount="100000" sheet="1" selectLockedCells="1"/>
  <mergeCells count="3">
    <mergeCell ref="A3:A9"/>
    <mergeCell ref="E10:G10"/>
    <mergeCell ref="A11:A18"/>
  </mergeCells>
  <dataValidations count="1">
    <dataValidation type="decimal" operator="greaterThanOrEqual" allowBlank="1" showInputMessage="1" showErrorMessage="1" sqref="C11:C17" xr:uid="{C9AE1D8A-480C-4ED6-A345-1AB0ECAF3308}">
      <formula1>0</formula1>
    </dataValidation>
  </dataValidations>
  <hyperlinks>
    <hyperlink ref="E10:G10" r:id="rId1" display="Click here for more information on determining an organizational boundary for GHG inventory" xr:uid="{4B8AC323-42EE-4CDF-9132-05F17F11B110}"/>
  </hyperlinks>
  <pageMargins left="0.7" right="0.7" top="0.75" bottom="0.75" header="0.3" footer="0.3"/>
  <pageSetup paperSize="9" orientation="landscape" r:id="rId2"/>
  <headerFooter>
    <oddHeader>&amp;L&amp;G&amp;R
&amp;"-,Negrita"&amp;8Herramienta para el cálculo de la huella de carbono en hospitales</oddHeader>
  </headerFooter>
  <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9638C8AA-7EF4-4AA9-8819-45B602B06549}">
          <x14:formula1>
            <xm:f>'S1&amp;2 Lists'!$AL$3:$AL$7</xm:f>
          </x14:formula1>
          <xm:sqref>C18</xm:sqref>
        </x14:dataValidation>
        <x14:dataValidation type="list" allowBlank="1" showInputMessage="1" showErrorMessage="1" xr:uid="{B197DAA2-E07B-4DA9-8386-5BD28B343E0B}">
          <x14:formula1>
            <xm:f>'S1&amp;2 Lists'!$DN$3:$DN$161</xm:f>
          </x14:formula1>
          <xm:sqref>C19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B9F94-92EC-477D-BF41-359C09AB2D5B}">
  <sheetPr codeName="Sheet5">
    <tabColor rgb="FF94E494"/>
    <outlinePr summaryBelow="0"/>
  </sheetPr>
  <dimension ref="A1:N284"/>
  <sheetViews>
    <sheetView showGridLines="0" zoomScale="90" zoomScaleNormal="90" zoomScaleSheetLayoutView="50" workbookViewId="0">
      <selection activeCell="A217" sqref="A217:G217"/>
    </sheetView>
  </sheetViews>
  <sheetFormatPr defaultColWidth="10.5" defaultRowHeight="14.25" outlineLevelRow="2"/>
  <cols>
    <col min="1" max="1" width="45.125" customWidth="1"/>
    <col min="2" max="2" width="48.375" customWidth="1"/>
    <col min="3" max="3" width="21.625" customWidth="1"/>
    <col min="4" max="4" width="20.125" customWidth="1"/>
    <col min="5" max="5" width="16.875" customWidth="1"/>
    <col min="6" max="6" width="17.875" customWidth="1"/>
    <col min="7" max="7" width="17.75" customWidth="1"/>
    <col min="8" max="8" width="15.875" customWidth="1"/>
    <col min="9" max="9" width="19.25" customWidth="1"/>
    <col min="10" max="10" width="28.125" customWidth="1"/>
    <col min="12" max="12" width="27.75" customWidth="1"/>
    <col min="13" max="13" width="24.375" bestFit="1" customWidth="1"/>
  </cols>
  <sheetData>
    <row r="1" spans="1:7" s="4" customFormat="1" ht="95.25" customHeight="1">
      <c r="C1" s="403"/>
      <c r="D1" s="404" t="str">
        <f>+Instructions!B2</f>
        <v>Health Care Emissions Impact Calculator-Facility</v>
      </c>
      <c r="F1" s="405"/>
      <c r="G1" s="405"/>
    </row>
    <row r="2" spans="1:7" s="4" customFormat="1" ht="5.0999999999999996" customHeight="1"/>
    <row r="3" spans="1:7" s="4" customFormat="1" ht="15.75">
      <c r="A3" s="406" t="s">
        <v>1808</v>
      </c>
    </row>
    <row r="4" spans="1:7" s="4" customFormat="1" ht="33.75" customHeight="1">
      <c r="A4" s="1457" t="s">
        <v>3285</v>
      </c>
      <c r="B4" s="1457"/>
      <c r="C4" s="1457"/>
      <c r="D4" s="1457"/>
      <c r="E4" s="1457"/>
    </row>
    <row r="5" spans="1:7" s="4" customFormat="1"/>
    <row r="6" spans="1:7" s="4" customFormat="1" ht="15">
      <c r="A6" s="407" t="s">
        <v>1809</v>
      </c>
      <c r="B6" s="408" t="s">
        <v>1810</v>
      </c>
      <c r="C6" t="s">
        <v>1811</v>
      </c>
    </row>
    <row r="7" spans="1:7" s="4" customFormat="1" ht="15">
      <c r="A7" s="407" t="s">
        <v>1812</v>
      </c>
      <c r="B7" s="408" t="s">
        <v>1813</v>
      </c>
      <c r="C7" t="s">
        <v>1814</v>
      </c>
    </row>
    <row r="8" spans="1:7" s="4" customFormat="1" ht="15">
      <c r="A8" s="407" t="s">
        <v>1815</v>
      </c>
      <c r="B8" s="408" t="s">
        <v>1816</v>
      </c>
      <c r="C8" t="s">
        <v>1817</v>
      </c>
    </row>
    <row r="9" spans="1:7" s="4" customFormat="1" ht="15">
      <c r="A9" s="407" t="s">
        <v>1818</v>
      </c>
      <c r="B9" s="408" t="s">
        <v>1819</v>
      </c>
      <c r="C9" s="4" t="s">
        <v>1820</v>
      </c>
    </row>
    <row r="10" spans="1:7" s="4" customFormat="1" ht="8.1" customHeight="1"/>
    <row r="11" spans="1:7" s="4" customFormat="1" ht="5.45" customHeight="1"/>
    <row r="12" spans="1:7" s="410" customFormat="1" ht="20.25">
      <c r="A12" s="409" t="s">
        <v>6</v>
      </c>
    </row>
    <row r="13" spans="1:7" ht="48" customHeight="1">
      <c r="A13" s="1446" t="s">
        <v>1821</v>
      </c>
      <c r="B13" s="1446"/>
      <c r="C13" s="1446"/>
      <c r="D13" s="1446"/>
      <c r="E13" s="1446"/>
      <c r="F13" s="1446"/>
      <c r="G13" s="1446"/>
    </row>
    <row r="14" spans="1:7" ht="13.5" customHeight="1">
      <c r="A14" s="411"/>
      <c r="B14" s="412"/>
      <c r="C14" s="412"/>
      <c r="D14" s="412"/>
      <c r="E14" s="412"/>
      <c r="F14" s="412"/>
    </row>
    <row r="15" spans="1:7" s="415" customFormat="1" ht="18">
      <c r="A15" s="413">
        <v>1.1000000000000001</v>
      </c>
      <c r="B15" s="414" t="s">
        <v>1822</v>
      </c>
    </row>
    <row r="16" spans="1:7" outlineLevel="1"/>
    <row r="17" spans="1:12" ht="29.25" customHeight="1" outlineLevel="1">
      <c r="A17" s="1458" t="s">
        <v>1823</v>
      </c>
      <c r="B17" s="1458"/>
      <c r="C17" s="1458"/>
      <c r="D17" s="1458"/>
      <c r="E17" s="1458"/>
      <c r="F17" s="1458"/>
      <c r="G17" s="1458"/>
    </row>
    <row r="18" spans="1:12" ht="7.5" customHeight="1" outlineLevel="1">
      <c r="B18" s="15"/>
      <c r="C18" s="15"/>
      <c r="D18" s="15"/>
      <c r="E18" s="15"/>
      <c r="F18" s="15"/>
    </row>
    <row r="19" spans="1:12" ht="34.5" customHeight="1" outlineLevel="1">
      <c r="A19" s="1459" t="s">
        <v>1824</v>
      </c>
      <c r="B19" s="1459"/>
      <c r="C19" s="1459"/>
      <c r="D19" s="1459"/>
      <c r="E19" s="1459"/>
      <c r="F19" s="1459"/>
      <c r="G19" s="1459"/>
    </row>
    <row r="20" spans="1:12" outlineLevel="1">
      <c r="B20" s="416"/>
      <c r="C20" s="417" t="s">
        <v>1825</v>
      </c>
      <c r="D20" s="416"/>
      <c r="E20" s="416"/>
      <c r="F20" s="416"/>
    </row>
    <row r="21" spans="1:12" ht="15" outlineLevel="1">
      <c r="B21" s="418" t="s">
        <v>1826</v>
      </c>
      <c r="C21" s="1460"/>
      <c r="D21" s="1461"/>
      <c r="E21" s="416"/>
      <c r="F21" s="416"/>
    </row>
    <row r="22" spans="1:12" outlineLevel="1">
      <c r="B22" s="416"/>
      <c r="C22" s="416"/>
      <c r="D22" s="416"/>
      <c r="E22" s="416"/>
      <c r="F22" s="416"/>
    </row>
    <row r="23" spans="1:12" ht="24" customHeight="1" outlineLevel="1">
      <c r="A23" s="1456" t="s">
        <v>1827</v>
      </c>
      <c r="B23" s="1456"/>
      <c r="C23" s="15"/>
      <c r="D23" s="15"/>
      <c r="E23" s="15"/>
      <c r="F23" s="15"/>
    </row>
    <row r="24" spans="1:12" outlineLevel="1">
      <c r="A24" s="1463" t="s">
        <v>1828</v>
      </c>
      <c r="B24" s="1463"/>
      <c r="C24" s="1463"/>
      <c r="D24" s="1463"/>
      <c r="E24" s="1463"/>
      <c r="F24" s="1463"/>
      <c r="G24" s="1463"/>
    </row>
    <row r="25" spans="1:12" outlineLevel="1">
      <c r="A25" s="1463" t="s">
        <v>1829</v>
      </c>
      <c r="B25" s="1463"/>
      <c r="C25" s="1463"/>
      <c r="D25" s="1463"/>
      <c r="E25" s="1463"/>
      <c r="F25" s="1463"/>
      <c r="G25" s="1463"/>
      <c r="H25" s="729"/>
    </row>
    <row r="26" spans="1:12" outlineLevel="1"/>
    <row r="27" spans="1:12" outlineLevel="1">
      <c r="D27" s="1464" t="s">
        <v>1830</v>
      </c>
      <c r="E27" s="1465"/>
      <c r="F27" s="1465"/>
      <c r="G27" s="1466"/>
      <c r="I27" s="2"/>
    </row>
    <row r="28" spans="1:12" ht="18.75" outlineLevel="1">
      <c r="A28" s="423" t="s">
        <v>1831</v>
      </c>
      <c r="B28" s="423" t="s">
        <v>1832</v>
      </c>
      <c r="C28" s="423" t="s">
        <v>0</v>
      </c>
      <c r="D28" s="423" t="s">
        <v>1833</v>
      </c>
      <c r="E28" s="423" t="s">
        <v>1834</v>
      </c>
      <c r="F28" s="423" t="s">
        <v>1835</v>
      </c>
      <c r="G28" s="423" t="s">
        <v>1836</v>
      </c>
      <c r="I28" s="423" t="s">
        <v>1832</v>
      </c>
      <c r="J28" s="423" t="s">
        <v>0</v>
      </c>
    </row>
    <row r="29" spans="1:12" ht="20.25" customHeight="1" outlineLevel="1">
      <c r="A29" s="424" t="s">
        <v>8</v>
      </c>
      <c r="B29" s="425"/>
      <c r="C29" s="425"/>
      <c r="D29" s="426">
        <f>ROUND(+SUM(D30:D38),3)</f>
        <v>26014652.620999999</v>
      </c>
      <c r="E29" s="426">
        <f>ROUND(+SUM(E30:E38),3)</f>
        <v>2318.596</v>
      </c>
      <c r="F29" s="426">
        <f>ROUND(+SUM(F30:F38),3)</f>
        <v>46.372</v>
      </c>
      <c r="G29" s="426">
        <f>ROUND(+SUM(G30:G38),3)</f>
        <v>26096406.338</v>
      </c>
      <c r="I29" s="427"/>
      <c r="J29" s="428"/>
    </row>
    <row r="30" spans="1:12" ht="16.5" outlineLevel="1">
      <c r="A30" s="429" t="str">
        <f>'S1&amp;2 Lists'!L3</f>
        <v>Natural gas</v>
      </c>
      <c r="B30" s="430">
        <v>500000</v>
      </c>
      <c r="C30" s="430" t="s">
        <v>1983</v>
      </c>
      <c r="D30" s="1398">
        <f>ROUND(+$I30*'S1&amp;2 Lists'!$N3*'S1&amp;2 Lists'!$O3*'S1&amp;2 Lists'!P3/1000,3)</f>
        <v>26014652.620999999</v>
      </c>
      <c r="E30" s="431">
        <f>ROUND(+$I30*'S1&amp;2 Lists'!$N3*'S1&amp;2 Lists'!$O3*'S1&amp;2 Lists'!Q3/1000,3)</f>
        <v>2318.596</v>
      </c>
      <c r="F30" s="431">
        <f>ROUND(+$I30*'S1&amp;2 Lists'!$N3*'S1&amp;2 Lists'!$O3*'S1&amp;2 Lists'!R3/1000,3)</f>
        <v>46.372</v>
      </c>
      <c r="G30" s="431">
        <f>+D30+$E30*VLOOKUP($E$28,'S1&amp;2 Lists'!$C$1:$G$109,3,FALSE)+F30*VLOOKUP($F$28,'S1&amp;2 Lists'!$C$1:$G$109,3,FALSE)</f>
        <v>26096406.3378</v>
      </c>
      <c r="I30" s="431">
        <f>+ROUND(IF(C30='S1&amp;2 Lists'!$CU$3,B30,IF(C30='S1&amp;2 Lists'!$CU$4,B30/'S1&amp;2 Lists'!$CQ$3,IF(C30='S1&amp;2 Lists'!$CU$5,B30/'S1&amp;2 Lists'!$CQ$4,IF(C30='S1&amp;2 Lists'!$CU$6,B30/'S1&amp;2 Lists'!$CQ$5,IF(C30='S1&amp;2 Lists'!$CU$7,B30*'S1&amp;2 Lists'!$CQ$9,IF(C30='S1&amp;2 Lists'!$CU$8,B30*'S1&amp;2 Lists'!$CQ$10,0)))))),3)</f>
        <v>13801169.585000001</v>
      </c>
      <c r="J30" s="432" t="s">
        <v>1837</v>
      </c>
      <c r="L30" s="730"/>
    </row>
    <row r="31" spans="1:12" outlineLevel="1">
      <c r="A31" s="429" t="str">
        <f>+'S1&amp;2 Lists'!L5</f>
        <v>Fuel Oil #2</v>
      </c>
      <c r="B31" s="433"/>
      <c r="C31" s="433"/>
      <c r="D31" s="1398">
        <f>ROUND(+$I31*'S1&amp;2 Lists'!$N5*'S1&amp;2 Lists'!$O5*'S1&amp;2 Lists'!P5/1000,3)</f>
        <v>0</v>
      </c>
      <c r="E31" s="431">
        <f>ROUND(+$I31*'S1&amp;2 Lists'!$N5*'S1&amp;2 Lists'!$O5*'S1&amp;2 Lists'!Q5/1000,3)</f>
        <v>0</v>
      </c>
      <c r="F31" s="431">
        <f>ROUND(+$I31*'S1&amp;2 Lists'!$N5*'S1&amp;2 Lists'!$O5*'S1&amp;2 Lists'!R5/1000,3)</f>
        <v>0</v>
      </c>
      <c r="G31" s="431">
        <f>+D31+$E31*VLOOKUP($E$28,'S1&amp;2 Lists'!$C$1:$G$109,3,FALSE)+F31*VLOOKUP($F$28,'S1&amp;2 Lists'!$C$1:$G$109,3,FALSE)</f>
        <v>0</v>
      </c>
      <c r="I31" s="431">
        <f>+ROUND(IF(C31='S1&amp;2 Lists'!$CW$3,B31,IF(C31='S1&amp;2 Lists'!$CW$4,B31/'S1&amp;2 Lists'!$CQ$8,0)),3)</f>
        <v>0</v>
      </c>
      <c r="J31" s="10" t="s">
        <v>1838</v>
      </c>
      <c r="L31" s="730"/>
    </row>
    <row r="32" spans="1:12" outlineLevel="1">
      <c r="A32" s="429" t="str">
        <f>+'S1&amp;2 Lists'!L4</f>
        <v>Diesel</v>
      </c>
      <c r="B32" s="433"/>
      <c r="C32" s="433"/>
      <c r="D32" s="1398">
        <f>ROUND(+$I32*'S1&amp;2 Lists'!$N4*'S1&amp;2 Lists'!$O4*'S1&amp;2 Lists'!P4/1000,3)</f>
        <v>0</v>
      </c>
      <c r="E32" s="431">
        <f>ROUND(+$I32*'S1&amp;2 Lists'!$N4*'S1&amp;2 Lists'!$O4*'S1&amp;2 Lists'!Q4/1000,3)</f>
        <v>0</v>
      </c>
      <c r="F32" s="431">
        <f>ROUND(+$I32*'S1&amp;2 Lists'!$N4*'S1&amp;2 Lists'!$O4*'S1&amp;2 Lists'!R4/1000,3)</f>
        <v>0</v>
      </c>
      <c r="G32" s="431">
        <f>+D32+$E32*VLOOKUP($E$28,'S1&amp;2 Lists'!$C$1:$G$109,3,FALSE)+F32*VLOOKUP($F$28,'S1&amp;2 Lists'!$C$1:$G$109,3,FALSE)</f>
        <v>0</v>
      </c>
      <c r="I32" s="431">
        <f>+ROUND(IF(C32='S1&amp;2 Lists'!$CW$3,B32,IF(C32='S1&amp;2 Lists'!$CW$4,B32/'S1&amp;2 Lists'!$CQ$8,0)),3)</f>
        <v>0</v>
      </c>
      <c r="J32" s="10" t="s">
        <v>1838</v>
      </c>
      <c r="L32" s="730"/>
    </row>
    <row r="33" spans="1:10" outlineLevel="1">
      <c r="A33" s="429" t="str">
        <f>+'S1&amp;2 Lists'!L6</f>
        <v>Gasoline</v>
      </c>
      <c r="B33" s="433"/>
      <c r="C33" s="433"/>
      <c r="D33" s="1398">
        <f>ROUND(+$I33*'S1&amp;2 Lists'!$N6*'S1&amp;2 Lists'!$O6*'S1&amp;2 Lists'!P6/1000,3)</f>
        <v>0</v>
      </c>
      <c r="E33" s="431">
        <f>ROUND(+$I33*'S1&amp;2 Lists'!$N6*'S1&amp;2 Lists'!$O6*'S1&amp;2 Lists'!Q6/1000,3)</f>
        <v>0</v>
      </c>
      <c r="F33" s="431">
        <f>ROUND(+$I33*'S1&amp;2 Lists'!$N6*'S1&amp;2 Lists'!$O6*'S1&amp;2 Lists'!R6/1000,3)</f>
        <v>0</v>
      </c>
      <c r="G33" s="431">
        <f>+D33+$E33*VLOOKUP($E$28,'S1&amp;2 Lists'!$C$1:$G$109,3,FALSE)+F33*VLOOKUP($F$28,'S1&amp;2 Lists'!$C$1:$G$109,3,FALSE)</f>
        <v>0</v>
      </c>
      <c r="I33" s="431">
        <f>+ROUND(IF(C33='S1&amp;2 Lists'!$CW$3,B33,IF(C33='S1&amp;2 Lists'!$CW$4,B33/'S1&amp;2 Lists'!$CQ$8,0)),3)</f>
        <v>0</v>
      </c>
      <c r="J33" s="10" t="s">
        <v>1838</v>
      </c>
    </row>
    <row r="34" spans="1:10" outlineLevel="1">
      <c r="A34" s="429" t="str">
        <f>+'S1&amp;2 Lists'!L7</f>
        <v>Liquefied Petroleum Gases (LPG)</v>
      </c>
      <c r="B34" s="433"/>
      <c r="C34" s="433"/>
      <c r="D34" s="1398">
        <f>ROUND(+$I34*'S1&amp;2 Lists'!$O7*'S1&amp;2 Lists'!P7/1000,3)</f>
        <v>0</v>
      </c>
      <c r="E34" s="431">
        <f>ROUND(+$I34*'S1&amp;2 Lists'!$O7*'S1&amp;2 Lists'!Q7/1000,3)</f>
        <v>0</v>
      </c>
      <c r="F34" s="431">
        <f>ROUND(+$I34*'S1&amp;2 Lists'!$O7*'S1&amp;2 Lists'!R7/1000,3)</f>
        <v>0</v>
      </c>
      <c r="G34" s="431">
        <f>+D34+$E34*VLOOKUP($E$28,'S1&amp;2 Lists'!$C$1:$G$109,3,FALSE)+F34*VLOOKUP($F$28,'S1&amp;2 Lists'!$C$1:$G$109,3,FALSE)</f>
        <v>0</v>
      </c>
      <c r="I34" s="431">
        <f>+ROUND(IF(C34='S1&amp;2 Lists'!CV3,B34,IF(C34='S1&amp;2 Lists'!CV4,B34/'S1&amp;2 Lists'!CQ6,IF(C34='S1&amp;2 Lists'!CV5,B34/'S1&amp;2 Lists'!CQ12,IF(C34='S1&amp;2 Lists'!CV6,B34/'S1&amp;2 Lists'!CQ11,IF(C34='S1&amp;2 Lists'!CV7,B34*'S1&amp;2 Lists'!CQ13,0))))),3)</f>
        <v>0</v>
      </c>
      <c r="J34" s="10" t="s">
        <v>12</v>
      </c>
    </row>
    <row r="35" spans="1:10" outlineLevel="1">
      <c r="A35" s="429" t="str">
        <f>+'S1&amp;2 Lists'!L8</f>
        <v>Kerosene</v>
      </c>
      <c r="B35" s="433"/>
      <c r="C35" s="433"/>
      <c r="D35" s="1398">
        <f>ROUND(+$I35*'S1&amp;2 Lists'!$N8*'S1&amp;2 Lists'!$O8*'S1&amp;2 Lists'!P8/1000,3)</f>
        <v>0</v>
      </c>
      <c r="E35" s="431">
        <f>ROUND(+$I35*'S1&amp;2 Lists'!$N8*'S1&amp;2 Lists'!$O8*'S1&amp;2 Lists'!Q8/1000,3)</f>
        <v>0</v>
      </c>
      <c r="F35" s="431">
        <f>ROUND(+$I35*'S1&amp;2 Lists'!$N8*'S1&amp;2 Lists'!$O8*'S1&amp;2 Lists'!R8/1000,3)</f>
        <v>0</v>
      </c>
      <c r="G35" s="431">
        <f>+D35+$E35*VLOOKUP($E$28,'S1&amp;2 Lists'!$C$1:$G$109,3,FALSE)+F35*VLOOKUP($F$28,'S1&amp;2 Lists'!$C$1:$G$109,3,FALSE)</f>
        <v>0</v>
      </c>
      <c r="I35" s="431">
        <f>+ROUND(IF(C35='S1&amp;2 Lists'!$CW$3,B35,IF(C35='S1&amp;2 Lists'!$CW$4,B35/'S1&amp;2 Lists'!$CQ$8,0)),3)</f>
        <v>0</v>
      </c>
      <c r="J35" s="10" t="s">
        <v>1838</v>
      </c>
    </row>
    <row r="36" spans="1:10" outlineLevel="1">
      <c r="A36" s="429" t="str">
        <f>+'S1&amp;2 Lists'!L9</f>
        <v>Coal</v>
      </c>
      <c r="B36" s="433"/>
      <c r="C36" s="433"/>
      <c r="D36" s="1398">
        <f>ROUND(+$I36*'S1&amp;2 Lists'!$O9*'S1&amp;2 Lists'!P9/1000,3)</f>
        <v>0</v>
      </c>
      <c r="E36" s="431">
        <f>ROUND(+$I36*'S1&amp;2 Lists'!$O9*'S1&amp;2 Lists'!Q9/1000,3)</f>
        <v>0</v>
      </c>
      <c r="F36" s="431">
        <f>ROUND(+$I36*'S1&amp;2 Lists'!$O9*'S1&amp;2 Lists'!R9/1000,3)</f>
        <v>0</v>
      </c>
      <c r="G36" s="431">
        <f>+D36+$E36*VLOOKUP($E$28,'S1&amp;2 Lists'!$C$1:$G$109,3,FALSE)+F36*VLOOKUP($F$28,'S1&amp;2 Lists'!$C$1:$G$109,3,FALSE)</f>
        <v>0</v>
      </c>
      <c r="I36" s="431">
        <f>+ROUND(IF(C36='S1&amp;2 Lists'!$CX$3,B36,IF(C36='S1&amp;2 Lists'!$CX$4,B36/'S1&amp;2 Lists'!$CQ$6,IF(C36='S1&amp;2 Lists'!$CX$5,B36/'S1&amp;2 Lists'!$CQ$7,0))),3)</f>
        <v>0</v>
      </c>
      <c r="J36" s="10" t="s">
        <v>1839</v>
      </c>
    </row>
    <row r="37" spans="1:10" outlineLevel="1">
      <c r="A37" s="429" t="str">
        <f>+'S1&amp;2 Lists'!L10</f>
        <v>Wood</v>
      </c>
      <c r="B37" s="433"/>
      <c r="C37" s="433"/>
      <c r="D37" s="1398">
        <f>ROUND(+$I37*'S1&amp;2 Lists'!$O10*'S1&amp;2 Lists'!P10/1000,3)</f>
        <v>0</v>
      </c>
      <c r="E37" s="431">
        <f>ROUND(+$I37*'S1&amp;2 Lists'!$O10*'S1&amp;2 Lists'!Q10/1000,3)</f>
        <v>0</v>
      </c>
      <c r="F37" s="431">
        <f>ROUND(+$I37*'S1&amp;2 Lists'!$O10*'S1&amp;2 Lists'!R10/1000,3)</f>
        <v>0</v>
      </c>
      <c r="G37" s="431">
        <f>+D37+$E37*VLOOKUP($E$28,'S1&amp;2 Lists'!$C$1:$G$109,3,FALSE)+F37*VLOOKUP($F$28,'S1&amp;2 Lists'!$C$1:$G$109,3,FALSE)</f>
        <v>0</v>
      </c>
      <c r="I37" s="431">
        <f>+ROUND(IF(C37='S1&amp;2 Lists'!$CX$3,B37,IF(C37='S1&amp;2 Lists'!$CX$4,B37/'S1&amp;2 Lists'!$CQ$6,IF(C37='S1&amp;2 Lists'!$CX$5,B37/'S1&amp;2 Lists'!$CQ$7,0))),3)</f>
        <v>0</v>
      </c>
      <c r="J37" s="10" t="s">
        <v>1839</v>
      </c>
    </row>
    <row r="38" spans="1:10" outlineLevel="1">
      <c r="A38" s="429" t="str">
        <f>+'S1&amp;2 Lists'!L11</f>
        <v>Biodiesel</v>
      </c>
      <c r="B38" s="434"/>
      <c r="C38" s="434"/>
      <c r="D38" s="1398">
        <f>ROUND(+$I38*'S1&amp;2 Lists'!$N11*'S1&amp;2 Lists'!$O11*'S1&amp;2 Lists'!P11/1000,3)</f>
        <v>0</v>
      </c>
      <c r="E38" s="431">
        <f>ROUND(+$I38*'S1&amp;2 Lists'!$N11*'S1&amp;2 Lists'!$O11*'S1&amp;2 Lists'!Q11/1000,3)</f>
        <v>0</v>
      </c>
      <c r="F38" s="431">
        <f>ROUND(+$I38*'S1&amp;2 Lists'!$N11*'S1&amp;2 Lists'!$O11*'S1&amp;2 Lists'!R11/1000,3)</f>
        <v>0</v>
      </c>
      <c r="G38" s="431">
        <f>+D38+$E38*VLOOKUP($E$28,'S1&amp;2 Lists'!$C$1:$G$109,3,FALSE)+F38*VLOOKUP($F$28,'S1&amp;2 Lists'!$C$1:$G$109,3,FALSE)</f>
        <v>0</v>
      </c>
      <c r="I38" s="431">
        <f>+ROUND(IF(C38='S1&amp;2 Lists'!$CW$3,B38,IF(C38='S1&amp;2 Lists'!$CW$4,B38/'S1&amp;2 Lists'!$CQ$8,0)),3)</f>
        <v>0</v>
      </c>
      <c r="J38" s="10" t="s">
        <v>1838</v>
      </c>
    </row>
    <row r="39" spans="1:10" outlineLevel="1"/>
    <row r="40" spans="1:10" s="415" customFormat="1" ht="18">
      <c r="A40" s="413" t="s">
        <v>1840</v>
      </c>
      <c r="B40" s="414" t="s">
        <v>1841</v>
      </c>
      <c r="F40" s="435"/>
    </row>
    <row r="41" spans="1:10" outlineLevel="1">
      <c r="F41" s="16"/>
    </row>
    <row r="42" spans="1:10" ht="45.75" customHeight="1" outlineLevel="1">
      <c r="A42" s="1446" t="s">
        <v>1842</v>
      </c>
      <c r="B42" s="1446"/>
      <c r="C42" s="1446"/>
      <c r="D42" s="1446"/>
      <c r="E42" s="1446"/>
      <c r="F42" s="1446"/>
      <c r="G42" s="1446"/>
    </row>
    <row r="43" spans="1:10" ht="54" customHeight="1" outlineLevel="1">
      <c r="A43" s="1467" t="s">
        <v>1843</v>
      </c>
      <c r="B43" s="1468"/>
      <c r="C43" s="1468"/>
      <c r="D43" s="1468"/>
      <c r="E43" s="1468"/>
      <c r="F43" s="1468"/>
      <c r="G43" s="1468"/>
    </row>
    <row r="44" spans="1:10" ht="6" customHeight="1" outlineLevel="1">
      <c r="B44" s="436"/>
      <c r="C44" s="436"/>
      <c r="D44" s="436"/>
      <c r="E44" s="436"/>
      <c r="F44" s="436"/>
      <c r="G44" s="436"/>
    </row>
    <row r="45" spans="1:10" ht="15" customHeight="1" outlineLevel="1">
      <c r="A45" s="1469" t="s">
        <v>1826</v>
      </c>
      <c r="B45" s="1470"/>
      <c r="C45" s="1471"/>
      <c r="D45" s="1472"/>
      <c r="E45" s="416"/>
      <c r="F45" s="416"/>
    </row>
    <row r="46" spans="1:10" ht="8.25" customHeight="1" outlineLevel="1">
      <c r="B46" s="436"/>
      <c r="C46" s="436"/>
      <c r="D46" s="436"/>
      <c r="E46" s="436"/>
      <c r="F46" s="436"/>
      <c r="G46" s="436"/>
    </row>
    <row r="47" spans="1:10" ht="6" customHeight="1" outlineLevel="1">
      <c r="B47" s="416"/>
      <c r="C47" s="416"/>
      <c r="D47" s="416"/>
      <c r="E47" s="416"/>
    </row>
    <row r="48" spans="1:10" outlineLevel="1">
      <c r="A48" s="437" t="s">
        <v>1844</v>
      </c>
      <c r="C48" s="15"/>
      <c r="D48" s="15"/>
      <c r="F48" s="438"/>
      <c r="G48" s="438"/>
    </row>
    <row r="49" spans="1:11" ht="69.75" customHeight="1" outlineLevel="1">
      <c r="A49" s="1463" t="s">
        <v>1845</v>
      </c>
      <c r="B49" s="1463"/>
      <c r="C49" s="1463"/>
      <c r="D49" s="1463"/>
      <c r="F49" s="439"/>
      <c r="G49" s="439"/>
      <c r="H49" s="439"/>
    </row>
    <row r="50" spans="1:11" ht="33" customHeight="1" outlineLevel="1">
      <c r="A50" s="1463" t="s">
        <v>1846</v>
      </c>
      <c r="B50" s="1463"/>
      <c r="C50" s="1463"/>
      <c r="D50" s="1463"/>
      <c r="F50" s="440"/>
      <c r="G50" s="441"/>
      <c r="H50" s="442"/>
    </row>
    <row r="51" spans="1:11" ht="35.25" customHeight="1" outlineLevel="1">
      <c r="A51" s="1463" t="s">
        <v>1847</v>
      </c>
      <c r="B51" s="1463"/>
      <c r="C51" s="1463"/>
      <c r="D51" s="1463"/>
      <c r="F51" s="16"/>
    </row>
    <row r="52" spans="1:11" ht="22.5" customHeight="1" outlineLevel="1">
      <c r="A52" s="1463" t="s">
        <v>1848</v>
      </c>
      <c r="B52" s="1463"/>
      <c r="C52" s="1463"/>
      <c r="D52" s="1463"/>
      <c r="F52" s="16"/>
    </row>
    <row r="53" spans="1:11" ht="6.95" customHeight="1" outlineLevel="1">
      <c r="F53" s="16"/>
    </row>
    <row r="54" spans="1:11" ht="1.5" customHeight="1" outlineLevel="1">
      <c r="F54" s="16"/>
    </row>
    <row r="55" spans="1:11" ht="31.5" customHeight="1" outlineLevel="1">
      <c r="C55" s="443" t="s">
        <v>1849</v>
      </c>
      <c r="E55" s="16"/>
    </row>
    <row r="56" spans="1:11" outlineLevel="1">
      <c r="A56" s="444" t="s">
        <v>1850</v>
      </c>
      <c r="B56" s="445">
        <v>0.05</v>
      </c>
      <c r="C56" s="446"/>
      <c r="D56" t="s">
        <v>1737</v>
      </c>
    </row>
    <row r="57" spans="1:11" outlineLevel="1">
      <c r="A57" s="444" t="s">
        <v>1851</v>
      </c>
      <c r="B57" s="445">
        <v>0.1</v>
      </c>
      <c r="C57" s="446"/>
      <c r="D57" t="s">
        <v>1737</v>
      </c>
    </row>
    <row r="58" spans="1:11" outlineLevel="1">
      <c r="E58" s="420" t="s">
        <v>1830</v>
      </c>
      <c r="F58" s="421"/>
      <c r="G58" s="421"/>
      <c r="H58" s="422"/>
    </row>
    <row r="59" spans="1:11" ht="42.75" outlineLevel="1">
      <c r="A59" s="423" t="s">
        <v>1831</v>
      </c>
      <c r="B59" s="423" t="s">
        <v>1832</v>
      </c>
      <c r="C59" s="443" t="s">
        <v>1852</v>
      </c>
      <c r="D59" s="423" t="s">
        <v>0</v>
      </c>
      <c r="E59" s="423" t="s">
        <v>1833</v>
      </c>
      <c r="F59" s="423" t="s">
        <v>1834</v>
      </c>
      <c r="G59" s="423" t="s">
        <v>1835</v>
      </c>
      <c r="H59" s="423" t="s">
        <v>1836</v>
      </c>
      <c r="J59" s="423" t="s">
        <v>1832</v>
      </c>
      <c r="K59" s="423" t="s">
        <v>0</v>
      </c>
    </row>
    <row r="60" spans="1:11" ht="15" outlineLevel="1">
      <c r="A60" s="447" t="s">
        <v>8</v>
      </c>
      <c r="B60" s="425"/>
      <c r="C60" s="448"/>
      <c r="D60" s="425"/>
      <c r="E60" s="449">
        <f>ROUND(+SUM(E61:E65),3)</f>
        <v>0</v>
      </c>
      <c r="F60" s="449">
        <f>ROUND(+SUM(F61:F65),3)</f>
        <v>0</v>
      </c>
      <c r="G60" s="449">
        <f>ROUND(+SUM(G61:G65),3)</f>
        <v>0</v>
      </c>
      <c r="H60" s="449">
        <f>ROUND(+SUM(H61:H65),3)</f>
        <v>0</v>
      </c>
      <c r="J60" s="448"/>
      <c r="K60" s="448"/>
    </row>
    <row r="61" spans="1:11" outlineLevel="1">
      <c r="A61" s="429" t="str">
        <f>+'S1&amp;2 Lists'!L6</f>
        <v>Gasoline</v>
      </c>
      <c r="B61" s="372"/>
      <c r="C61" s="450">
        <f>B61*(1-IF($C$57=0,$B$57,$C$57))</f>
        <v>0</v>
      </c>
      <c r="D61" s="372"/>
      <c r="E61" s="431">
        <f>ROUND(+$J61*'S1&amp;2 Lists'!$N6*'S1&amp;2 Lists'!$O6*'S1&amp;2 Lists'!S6/1000,3)</f>
        <v>0</v>
      </c>
      <c r="F61" s="431">
        <f>ROUND(+$J61*'S1&amp;2 Lists'!$N6*'S1&amp;2 Lists'!$O6*'S1&amp;2 Lists'!T6/1000,3)</f>
        <v>0</v>
      </c>
      <c r="G61" s="431">
        <f>ROUND(+$J61*'S1&amp;2 Lists'!$N6*'S1&amp;2 Lists'!$O6*'S1&amp;2 Lists'!U6/1000,3)</f>
        <v>0</v>
      </c>
      <c r="H61" s="431">
        <f>ROUND(+E61+$F61*VLOOKUP($F$59,'S1&amp;2 Lists'!$C$1:$G$109,3,FALSE)+G61*VLOOKUP($G$59,'S1&amp;2 Lists'!$C$1:$G$109,3,FALSE),3)</f>
        <v>0</v>
      </c>
      <c r="J61" s="431">
        <f>+ROUND(IF(D61='S1&amp;2 Lists'!$CW$3,C61,IF(D61='S1&amp;2 Lists'!$CW$4,C61/'S1&amp;2 Lists'!$CQ$8,0)),3)</f>
        <v>0</v>
      </c>
      <c r="K61" s="451" t="s">
        <v>1838</v>
      </c>
    </row>
    <row r="62" spans="1:11" outlineLevel="1">
      <c r="A62" s="429" t="str">
        <f>+'S1&amp;2 Lists'!L4</f>
        <v>Diesel</v>
      </c>
      <c r="B62" s="372"/>
      <c r="C62" s="450">
        <f>B62*(1-IF($C$56=0,$B$56,$C$56))</f>
        <v>0</v>
      </c>
      <c r="D62" s="372"/>
      <c r="E62" s="431">
        <f>ROUND(+$J62*'S1&amp;2 Lists'!$N4*'S1&amp;2 Lists'!$O4*'S1&amp;2 Lists'!S4/1000,3)</f>
        <v>0</v>
      </c>
      <c r="F62" s="431">
        <f>ROUND(+$J62*'S1&amp;2 Lists'!$N4*'S1&amp;2 Lists'!$O4*'S1&amp;2 Lists'!T4/1000,3)</f>
        <v>0</v>
      </c>
      <c r="G62" s="431">
        <f>ROUND(+$J62*'S1&amp;2 Lists'!$N4*'S1&amp;2 Lists'!$O4*'S1&amp;2 Lists'!U4/1000,3)</f>
        <v>0</v>
      </c>
      <c r="H62" s="431">
        <f>ROUND(+E62+$F62*VLOOKUP($F$59,'S1&amp;2 Lists'!$C$1:$G$109,3,FALSE)+G62*VLOOKUP($G$59,'S1&amp;2 Lists'!$C$1:$G$109,3,FALSE),3)</f>
        <v>0</v>
      </c>
      <c r="J62" s="431">
        <f>+ROUND(IF(D62='S1&amp;2 Lists'!$CW$3,C62,IF(D62='S1&amp;2 Lists'!$CW$4,C62/'S1&amp;2 Lists'!$CQ$8,0)),3)</f>
        <v>0</v>
      </c>
      <c r="K62" s="451" t="s">
        <v>1838</v>
      </c>
    </row>
    <row r="63" spans="1:11" ht="17.25" outlineLevel="1">
      <c r="A63" s="429" t="str">
        <f>+'S1&amp;2 Lists'!L3</f>
        <v>Natural gas</v>
      </c>
      <c r="B63" s="372"/>
      <c r="C63" s="448"/>
      <c r="D63" s="372"/>
      <c r="E63" s="431">
        <f>ROUND(+$J63*'S1&amp;2 Lists'!$N3*'S1&amp;2 Lists'!$O3*'S1&amp;2 Lists'!S3/1000,3)</f>
        <v>0</v>
      </c>
      <c r="F63" s="431">
        <f>ROUND(+$J63*'S1&amp;2 Lists'!$N3*'S1&amp;2 Lists'!$O3*'S1&amp;2 Lists'!T3/1000,3)</f>
        <v>0</v>
      </c>
      <c r="G63" s="431">
        <f>ROUND(+$J63*'S1&amp;2 Lists'!$N3*'S1&amp;2 Lists'!$O3*'S1&amp;2 Lists'!U3/1000,3)</f>
        <v>0</v>
      </c>
      <c r="H63" s="431">
        <f>ROUND(+E63+$F63*VLOOKUP($F$59,'S1&amp;2 Lists'!$C$1:$G$109,3,FALSE)+G63*VLOOKUP($G$59,'S1&amp;2 Lists'!$C$1:$G$109,3,FALSE),3)</f>
        <v>0</v>
      </c>
      <c r="J63" s="431">
        <f>+ROUND(IF(D63='S1&amp;2 Lists'!$CU$3,B63,IF(D63='S1&amp;2 Lists'!$CU$4,B63/'S1&amp;2 Lists'!$CQ$3,IF(D63='S1&amp;2 Lists'!$CU$5,B63/'S1&amp;2 Lists'!$CQ$4,IF(D63='S1&amp;2 Lists'!$CU$6,B63/'S1&amp;2 Lists'!$CQ$5,0)))),3)</f>
        <v>0</v>
      </c>
      <c r="K63" s="451" t="s">
        <v>1837</v>
      </c>
    </row>
    <row r="64" spans="1:11" ht="15" outlineLevel="1">
      <c r="A64" s="429" t="str">
        <f>+'S1&amp;2 Lists'!L11</f>
        <v>Biodiesel</v>
      </c>
      <c r="B64" s="425"/>
      <c r="C64" s="450">
        <f>B62*(IF($C$56=0,$B$56,$C$56))</f>
        <v>0</v>
      </c>
      <c r="D64" s="450">
        <f>D62</f>
        <v>0</v>
      </c>
      <c r="E64" s="431">
        <f>ROUND(+$J64*'S1&amp;2 Lists'!$N11*'S1&amp;2 Lists'!$O11*'S1&amp;2 Lists'!S11/1000,3)</f>
        <v>0</v>
      </c>
      <c r="F64" s="431">
        <f>ROUND(+$J64*'S1&amp;2 Lists'!$N11*'S1&amp;2 Lists'!$O11*'S1&amp;2 Lists'!T11/1000,3)</f>
        <v>0</v>
      </c>
      <c r="G64" s="452">
        <f>ROUND(+$J64*'S1&amp;2 Lists'!$N11*'S1&amp;2 Lists'!$O11*'S1&amp;2 Lists'!U11/1000,3)</f>
        <v>0</v>
      </c>
      <c r="H64" s="431">
        <f>ROUND(+E64+$F64*VLOOKUP($F$59,'S1&amp;2 Lists'!$C$1:$G$109,3,FALSE)+G64*VLOOKUP($G$59,'S1&amp;2 Lists'!$C$1:$G$109,3,FALSE),3)</f>
        <v>0</v>
      </c>
      <c r="J64" s="431">
        <f>+ROUND(IF(D64='S1&amp;2 Lists'!$CW$3,C64,IF(D64='S1&amp;2 Lists'!$CW$4,C64/'S1&amp;2 Lists'!$CQ$8,0)),3)</f>
        <v>0</v>
      </c>
      <c r="K64" s="451" t="s">
        <v>1838</v>
      </c>
    </row>
    <row r="65" spans="1:11" ht="15" outlineLevel="1">
      <c r="A65" s="429" t="str">
        <f>+'S1&amp;2 Lists'!L12</f>
        <v>Biogasoline/Bioethanol</v>
      </c>
      <c r="B65" s="425"/>
      <c r="C65" s="450">
        <f>B61*(IF($C$57=0,$B$57,$C$57))</f>
        <v>0</v>
      </c>
      <c r="D65" s="450">
        <f>D61</f>
        <v>0</v>
      </c>
      <c r="E65" s="431">
        <f>ROUND(+$J65*'S1&amp;2 Lists'!$N12*'S1&amp;2 Lists'!$O12*'S1&amp;2 Lists'!S12/1000,3)</f>
        <v>0</v>
      </c>
      <c r="F65" s="431">
        <f>ROUND(+$J65*'S1&amp;2 Lists'!$N12*'S1&amp;2 Lists'!$O12*'S1&amp;2 Lists'!T12/1000,3)</f>
        <v>0</v>
      </c>
      <c r="G65" s="452">
        <f>ROUND(+$J65*'S1&amp;2 Lists'!$N12*'S1&amp;2 Lists'!$O12*'S1&amp;2 Lists'!U12/1000,3)</f>
        <v>0</v>
      </c>
      <c r="H65" s="431">
        <f>ROUND(+E65+$F65*VLOOKUP($F$59,'S1&amp;2 Lists'!$C$1:$G$109,3,FALSE)+G65*VLOOKUP($G$59,'S1&amp;2 Lists'!$C$1:$G$109,3,FALSE),3)</f>
        <v>0</v>
      </c>
      <c r="J65" s="431">
        <f>+ROUND(IF(D65='S1&amp;2 Lists'!$CW$3,C65,IF(D65='S1&amp;2 Lists'!$CW$4,C65/'S1&amp;2 Lists'!$CQ$8,0)),3)</f>
        <v>0</v>
      </c>
      <c r="K65" s="451" t="s">
        <v>1838</v>
      </c>
    </row>
    <row r="66" spans="1:11" outlineLevel="1"/>
    <row r="67" spans="1:11" s="415" customFormat="1" ht="18">
      <c r="A67" s="413" t="s">
        <v>1853</v>
      </c>
      <c r="B67" s="414" t="s">
        <v>1854</v>
      </c>
    </row>
    <row r="68" spans="1:11" s="415" customFormat="1" ht="17.25" customHeight="1">
      <c r="A68" s="453" t="s">
        <v>1855</v>
      </c>
      <c r="B68" s="1473" t="s">
        <v>1856</v>
      </c>
      <c r="C68" s="1473"/>
    </row>
    <row r="69" spans="1:11" ht="18" outlineLevel="1">
      <c r="A69" s="454"/>
    </row>
    <row r="70" spans="1:11" outlineLevel="1">
      <c r="A70" s="1462" t="s">
        <v>1857</v>
      </c>
      <c r="B70" s="1462"/>
      <c r="C70" s="1462"/>
      <c r="D70" s="1462"/>
      <c r="E70" s="1462"/>
      <c r="F70" s="1462"/>
      <c r="G70" s="1462"/>
      <c r="H70" s="1462"/>
    </row>
    <row r="71" spans="1:11" ht="15" customHeight="1" outlineLevel="1">
      <c r="B71" s="436"/>
      <c r="C71" s="436"/>
      <c r="D71" s="436"/>
      <c r="E71" s="436"/>
      <c r="F71" s="436"/>
      <c r="G71" s="436"/>
    </row>
    <row r="72" spans="1:11" ht="15" customHeight="1" outlineLevel="1">
      <c r="A72" s="1469" t="s">
        <v>1826</v>
      </c>
      <c r="B72" s="1470"/>
      <c r="C72" s="1474"/>
      <c r="D72" s="1474"/>
      <c r="E72" s="416"/>
      <c r="F72" s="416"/>
    </row>
    <row r="73" spans="1:11" ht="18" outlineLevel="1">
      <c r="A73" s="454"/>
      <c r="F73" s="15"/>
    </row>
    <row r="74" spans="1:11" ht="15" outlineLevel="1" thickBot="1">
      <c r="A74" s="437" t="s">
        <v>1844</v>
      </c>
      <c r="C74" s="15"/>
      <c r="D74" s="15"/>
      <c r="E74" s="15"/>
      <c r="F74" s="15"/>
    </row>
    <row r="75" spans="1:11" ht="45.75" customHeight="1" outlineLevel="1" thickTop="1" thickBot="1">
      <c r="A75" s="1446" t="s">
        <v>1858</v>
      </c>
      <c r="B75" s="1446"/>
      <c r="C75" s="1446"/>
      <c r="D75" s="1446"/>
      <c r="E75" s="456"/>
      <c r="F75" s="457" t="s">
        <v>1859</v>
      </c>
      <c r="G75" s="419"/>
    </row>
    <row r="76" spans="1:11" ht="15" outlineLevel="1" thickTop="1"/>
    <row r="77" spans="1:11" ht="51.95" customHeight="1" outlineLevel="1">
      <c r="B77" s="423" t="s">
        <v>1860</v>
      </c>
      <c r="C77" s="443" t="s">
        <v>1861</v>
      </c>
      <c r="D77" s="443" t="s">
        <v>1862</v>
      </c>
      <c r="E77" s="443" t="s">
        <v>1863</v>
      </c>
    </row>
    <row r="78" spans="1:11" ht="15" outlineLevel="1" collapsed="1">
      <c r="B78" s="447" t="s">
        <v>8</v>
      </c>
      <c r="C78" s="458"/>
      <c r="D78" s="459">
        <f>ROUND(+SUM($D$79:$D$200),3)</f>
        <v>0</v>
      </c>
      <c r="E78" s="426">
        <f>ROUND(+SUM($E$79:$E$200),3)</f>
        <v>0</v>
      </c>
    </row>
    <row r="79" spans="1:11" hidden="1" outlineLevel="2">
      <c r="B79" s="5" t="str">
        <f>+'S1&amp;2 Lists'!C7</f>
        <v>Carbon Dioxide (CO2​)</v>
      </c>
      <c r="C79" s="460">
        <f>+VLOOKUP(B79,'S1&amp;2 Lists'!$C$7:$G$128,3,FALSE)</f>
        <v>1</v>
      </c>
      <c r="D79" s="460">
        <f>ROUND(+SUMIF(Refrigerants!$G$10:$G$654,'Scope 1 and 2 Data'!B79,Refrigerants!$P$10:$P$654),3)</f>
        <v>0</v>
      </c>
      <c r="E79" s="460">
        <f t="shared" ref="E79:E80" si="0">+C79*D79</f>
        <v>0</v>
      </c>
    </row>
    <row r="80" spans="1:11" hidden="1" outlineLevel="2">
      <c r="B80" s="5" t="str">
        <f>+'S1&amp;2 Lists'!C8</f>
        <v>HCFO-1233zd(E)</v>
      </c>
      <c r="C80" s="460">
        <f>+VLOOKUP(B80,'S1&amp;2 Lists'!$C$7:$G$128,3,FALSE)</f>
        <v>3.88</v>
      </c>
      <c r="D80" s="460">
        <f>ROUND(+SUMIF(Refrigerants!$G$10:$G$654,'Scope 1 and 2 Data'!B80,Refrigerants!$P$10:$P$654),3)</f>
        <v>0</v>
      </c>
      <c r="E80" s="460">
        <f t="shared" si="0"/>
        <v>0</v>
      </c>
    </row>
    <row r="81" spans="2:5" hidden="1" outlineLevel="2">
      <c r="B81" s="5" t="str">
        <f>+'S1&amp;2 Lists'!C9</f>
        <v>HFC-125 (CHF2​CF3​)</v>
      </c>
      <c r="C81" s="460">
        <f>+VLOOKUP(B81,'S1&amp;2 Lists'!$C$7:$G$128,3,FALSE)</f>
        <v>3740</v>
      </c>
      <c r="D81" s="460">
        <f>ROUND(+SUMIF(Refrigerants!$G$10:$G$654,'Scope 1 and 2 Data'!B81,Refrigerants!$P$10:$P$654),3)</f>
        <v>0</v>
      </c>
      <c r="E81" s="460">
        <f t="shared" ref="E81:E139" si="1">+C81*D81</f>
        <v>0</v>
      </c>
    </row>
    <row r="82" spans="2:5" hidden="1" outlineLevel="2">
      <c r="B82" s="5" t="str">
        <f>+'S1&amp;2 Lists'!C10</f>
        <v>HFC-134 (CHF2​CHF2​)</v>
      </c>
      <c r="C82" s="460">
        <f>+VLOOKUP(B82,'S1&amp;2 Lists'!$C$7:$G$128,3,FALSE)</f>
        <v>1260</v>
      </c>
      <c r="D82" s="460">
        <f>ROUND(+SUMIF(Refrigerants!$G$10:$G$654,'Scope 1 and 2 Data'!B82,Refrigerants!$P$10:$P$654),3)</f>
        <v>0</v>
      </c>
      <c r="E82" s="460">
        <f t="shared" si="1"/>
        <v>0</v>
      </c>
    </row>
    <row r="83" spans="2:5" hidden="1" outlineLevel="2">
      <c r="B83" s="5" t="str">
        <f>+'S1&amp;2 Lists'!C11</f>
        <v>HFC-134a (CH2​FCF3​)</v>
      </c>
      <c r="C83" s="460">
        <f>+VLOOKUP(B83,'S1&amp;2 Lists'!$C$7:$G$128,3,FALSE)</f>
        <v>1530</v>
      </c>
      <c r="D83" s="460">
        <f>ROUND(+SUMIF(Refrigerants!$G$10:$G$654,'Scope 1 and 2 Data'!B83,Refrigerants!$P$10:$P$654),3)</f>
        <v>0</v>
      </c>
      <c r="E83" s="460">
        <f t="shared" si="1"/>
        <v>0</v>
      </c>
    </row>
    <row r="84" spans="2:5" hidden="1" outlineLevel="2">
      <c r="B84" s="5" t="str">
        <f>+'S1&amp;2 Lists'!C12</f>
        <v>HFC-143 (CH2​FCHF2​)</v>
      </c>
      <c r="C84" s="460">
        <f>+VLOOKUP(B84,'S1&amp;2 Lists'!$C$7:$G$128,3,FALSE)</f>
        <v>364</v>
      </c>
      <c r="D84" s="460">
        <f>ROUND(+SUMIF(Refrigerants!$G$10:$G$654,'Scope 1 and 2 Data'!B84,Refrigerants!$P$10:$P$654),3)</f>
        <v>0</v>
      </c>
      <c r="E84" s="460">
        <f t="shared" si="1"/>
        <v>0</v>
      </c>
    </row>
    <row r="85" spans="2:5" hidden="1" outlineLevel="2">
      <c r="B85" s="5" t="str">
        <f>+'S1&amp;2 Lists'!C13</f>
        <v>HFC-143a (CH3​CF3​)</v>
      </c>
      <c r="C85" s="460">
        <f>+VLOOKUP(B85,'S1&amp;2 Lists'!$C$7:$G$128,3,FALSE)</f>
        <v>5810</v>
      </c>
      <c r="D85" s="460">
        <f>ROUND(+SUMIF(Refrigerants!$G$10:$G$654,'Scope 1 and 2 Data'!B85,Refrigerants!$P$10:$P$654),3)</f>
        <v>0</v>
      </c>
      <c r="E85" s="460">
        <f t="shared" si="1"/>
        <v>0</v>
      </c>
    </row>
    <row r="86" spans="2:5" hidden="1" outlineLevel="2">
      <c r="B86" s="5" t="str">
        <f>+'S1&amp;2 Lists'!C14</f>
        <v>HFC-152a (CH3​CHF2​)</v>
      </c>
      <c r="C86" s="460">
        <f>+VLOOKUP(B86,'S1&amp;2 Lists'!$C$7:$G$128,3,FALSE)</f>
        <v>164</v>
      </c>
      <c r="D86" s="460">
        <f>ROUND(+SUMIF(Refrigerants!$G$10:$G$654,'Scope 1 and 2 Data'!B86,Refrigerants!$P$10:$P$654),3)</f>
        <v>0</v>
      </c>
      <c r="E86" s="460">
        <f t="shared" si="1"/>
        <v>0</v>
      </c>
    </row>
    <row r="87" spans="2:5" hidden="1" outlineLevel="2">
      <c r="B87" s="5" t="str">
        <f>+'S1&amp;2 Lists'!C15</f>
        <v>HFC-161</v>
      </c>
      <c r="C87" s="460">
        <f>+VLOOKUP(B87,'S1&amp;2 Lists'!$C$7:$G$128,3,FALSE)</f>
        <v>4.84</v>
      </c>
      <c r="D87" s="460">
        <f>ROUND(+SUMIF(Refrigerants!$G$10:$G$654,'Scope 1 and 2 Data'!B87,Refrigerants!$P$10:$P$654),3)</f>
        <v>0</v>
      </c>
      <c r="E87" s="460">
        <f t="shared" si="1"/>
        <v>0</v>
      </c>
    </row>
    <row r="88" spans="2:5" hidden="1" outlineLevel="2">
      <c r="B88" s="5" t="str">
        <f>+'S1&amp;2 Lists'!C16</f>
        <v>HFC-227ea (CF3​CHFCF3​)</v>
      </c>
      <c r="C88" s="460">
        <f>+VLOOKUP(B88,'S1&amp;2 Lists'!$C$7:$G$128,3,FALSE)</f>
        <v>3600</v>
      </c>
      <c r="D88" s="460">
        <f>ROUND(+SUMIF(Refrigerants!$G$10:$G$654,'Scope 1 and 2 Data'!B88,Refrigerants!$P$10:$P$654),3)</f>
        <v>0</v>
      </c>
      <c r="E88" s="460">
        <f t="shared" si="1"/>
        <v>0</v>
      </c>
    </row>
    <row r="89" spans="2:5" hidden="1" outlineLevel="2">
      <c r="B89" s="5" t="str">
        <f>+'S1&amp;2 Lists'!C17</f>
        <v>HFC-23 (CHF3​)</v>
      </c>
      <c r="C89" s="460">
        <f>+VLOOKUP(B89,'S1&amp;2 Lists'!$C$7:$G$128,3,FALSE)</f>
        <v>14600</v>
      </c>
      <c r="D89" s="460">
        <f>ROUND(+SUMIF(Refrigerants!$G$10:$G$654,'Scope 1 and 2 Data'!B89,Refrigerants!$P$10:$P$654),3)</f>
        <v>0</v>
      </c>
      <c r="E89" s="460">
        <f t="shared" si="1"/>
        <v>0</v>
      </c>
    </row>
    <row r="90" spans="2:5" hidden="1" outlineLevel="2">
      <c r="B90" s="5" t="str">
        <f>+'S1&amp;2 Lists'!C18</f>
        <v>HFC-236cb</v>
      </c>
      <c r="C90" s="460">
        <f>+VLOOKUP(B90,'S1&amp;2 Lists'!$C$7:$G$128,3,FALSE)</f>
        <v>1350</v>
      </c>
      <c r="D90" s="460">
        <f>ROUND(+SUMIF(Refrigerants!$G$10:$G$654,'Scope 1 and 2 Data'!B90,Refrigerants!$P$10:$P$654),3)</f>
        <v>0</v>
      </c>
      <c r="E90" s="460">
        <f t="shared" si="1"/>
        <v>0</v>
      </c>
    </row>
    <row r="91" spans="2:5" hidden="1" outlineLevel="2">
      <c r="B91" s="5" t="str">
        <f>+'S1&amp;2 Lists'!C19</f>
        <v>HFC-236ea</v>
      </c>
      <c r="C91" s="460">
        <f>+VLOOKUP(B91,'S1&amp;2 Lists'!$C$7:$G$128,3,FALSE)</f>
        <v>1500</v>
      </c>
      <c r="D91" s="460">
        <f>ROUND(+SUMIF(Refrigerants!$G$10:$G$654,'Scope 1 and 2 Data'!B91,Refrigerants!$P$10:$P$654),3)</f>
        <v>0</v>
      </c>
      <c r="E91" s="460">
        <f t="shared" si="1"/>
        <v>0</v>
      </c>
    </row>
    <row r="92" spans="2:5" hidden="1" outlineLevel="2">
      <c r="B92" s="5" t="str">
        <f>+'S1&amp;2 Lists'!C20</f>
        <v>HFC-236fa</v>
      </c>
      <c r="C92" s="460">
        <f>+VLOOKUP(B92,'S1&amp;2 Lists'!$C$7:$G$128,3,FALSE)</f>
        <v>8690</v>
      </c>
      <c r="D92" s="460">
        <f>ROUND(+SUMIF(Refrigerants!$G$10:$G$654,'Scope 1 and 2 Data'!B92,Refrigerants!$P$10:$P$654),3)</f>
        <v>0</v>
      </c>
      <c r="E92" s="460">
        <f t="shared" si="1"/>
        <v>0</v>
      </c>
    </row>
    <row r="93" spans="2:5" hidden="1" outlineLevel="2">
      <c r="B93" s="5" t="str">
        <f>+'S1&amp;2 Lists'!C21</f>
        <v>HFC-245ca</v>
      </c>
      <c r="C93" s="460">
        <f>+VLOOKUP(B93,'S1&amp;2 Lists'!$C$7:$G$128,3,FALSE)</f>
        <v>787</v>
      </c>
      <c r="D93" s="460">
        <f>ROUND(+SUMIF(Refrigerants!$G$10:$G$654,'Scope 1 and 2 Data'!B93,Refrigerants!$P$10:$P$654),3)</f>
        <v>0</v>
      </c>
      <c r="E93" s="460">
        <f t="shared" si="1"/>
        <v>0</v>
      </c>
    </row>
    <row r="94" spans="2:5" hidden="1" outlineLevel="2">
      <c r="B94" s="5" t="str">
        <f>+'S1&amp;2 Lists'!C22</f>
        <v>HFC-245fa</v>
      </c>
      <c r="C94" s="460">
        <f>+VLOOKUP(B94,'S1&amp;2 Lists'!$C$7:$G$128,3,FALSE)</f>
        <v>962</v>
      </c>
      <c r="D94" s="460">
        <f>ROUND(+SUMIF(Refrigerants!$G$10:$G$654,'Scope 1 and 2 Data'!B94,Refrigerants!$P$10:$P$654),3)</f>
        <v>0</v>
      </c>
      <c r="E94" s="460">
        <f t="shared" si="1"/>
        <v>0</v>
      </c>
    </row>
    <row r="95" spans="2:5" hidden="1" outlineLevel="2">
      <c r="B95" s="5" t="str">
        <f>+'S1&amp;2 Lists'!C23</f>
        <v>HFC-32 (CH2​F2​)</v>
      </c>
      <c r="C95" s="460">
        <f>+VLOOKUP(B95,'S1&amp;2 Lists'!$C$7:$G$128,3,FALSE)</f>
        <v>771</v>
      </c>
      <c r="D95" s="460">
        <f>ROUND(+SUMIF(Refrigerants!$G$10:$G$654,'Scope 1 and 2 Data'!B95,Refrigerants!$P$10:$P$654),3)</f>
        <v>0</v>
      </c>
      <c r="E95" s="460">
        <f t="shared" si="1"/>
        <v>0</v>
      </c>
    </row>
    <row r="96" spans="2:5" hidden="1" outlineLevel="2">
      <c r="B96" s="5" t="str">
        <f>+'S1&amp;2 Lists'!C24</f>
        <v>HFC-365mfc</v>
      </c>
      <c r="C96" s="460">
        <f>+VLOOKUP(B96,'S1&amp;2 Lists'!$C$7:$G$128,3,FALSE)</f>
        <v>914</v>
      </c>
      <c r="D96" s="460">
        <f>ROUND(+SUMIF(Refrigerants!$G$10:$G$654,'Scope 1 and 2 Data'!B96,Refrigerants!$P$10:$P$654),3)</f>
        <v>0</v>
      </c>
      <c r="E96" s="460">
        <f t="shared" si="1"/>
        <v>0</v>
      </c>
    </row>
    <row r="97" spans="2:5" hidden="1" outlineLevel="2">
      <c r="B97" s="5" t="str">
        <f>+'S1&amp;2 Lists'!C25</f>
        <v>HFC-41 (CH3​F)</v>
      </c>
      <c r="C97" s="460">
        <f>+VLOOKUP(B97,'S1&amp;2 Lists'!$C$7:$G$128,3,FALSE)</f>
        <v>135</v>
      </c>
      <c r="D97" s="460">
        <f>ROUND(+SUMIF(Refrigerants!$G$10:$G$654,'Scope 1 and 2 Data'!B97,Refrigerants!$P$10:$P$654),3)</f>
        <v>0</v>
      </c>
      <c r="E97" s="460">
        <f t="shared" si="1"/>
        <v>0</v>
      </c>
    </row>
    <row r="98" spans="2:5" hidden="1" outlineLevel="2">
      <c r="B98" s="5" t="str">
        <f>+'S1&amp;2 Lists'!C26</f>
        <v>HFC-43-10mee</v>
      </c>
      <c r="C98" s="460">
        <f>+VLOOKUP(B98,'S1&amp;2 Lists'!$C$7:$G$128,3,FALSE)</f>
        <v>1600</v>
      </c>
      <c r="D98" s="460">
        <f>ROUND(+SUMIF(Refrigerants!$G$10:$G$654,'Scope 1 and 2 Data'!B98,Refrigerants!$P$10:$P$654),3)</f>
        <v>0</v>
      </c>
      <c r="E98" s="460">
        <f t="shared" si="1"/>
        <v>0</v>
      </c>
    </row>
    <row r="99" spans="2:5" hidden="1" outlineLevel="2">
      <c r="B99" s="5" t="str">
        <f>+'S1&amp;2 Lists'!C27</f>
        <v>HFO-1234yf</v>
      </c>
      <c r="C99" s="460">
        <f>+VLOOKUP(B99,'S1&amp;2 Lists'!$C$7:$G$128,3,FALSE)</f>
        <v>0.5</v>
      </c>
      <c r="D99" s="460">
        <f>ROUND(+SUMIF(Refrigerants!$G$10:$G$654,'Scope 1 and 2 Data'!B99,Refrigerants!$P$10:$P$654),3)</f>
        <v>0</v>
      </c>
      <c r="E99" s="460">
        <f t="shared" si="1"/>
        <v>0</v>
      </c>
    </row>
    <row r="100" spans="2:5" hidden="1" outlineLevel="2">
      <c r="B100" s="5" t="str">
        <f>+'S1&amp;2 Lists'!C28</f>
        <v>HFO-1234ze(E)</v>
      </c>
      <c r="C100" s="460">
        <f>+VLOOKUP(B100,'S1&amp;2 Lists'!$C$7:$G$128,3,FALSE)</f>
        <v>1.37</v>
      </c>
      <c r="D100" s="460">
        <f>ROUND(+SUMIF(Refrigerants!$G$10:$G$654,'Scope 1 and 2 Data'!B100,Refrigerants!$P$10:$P$654),3)</f>
        <v>0</v>
      </c>
      <c r="E100" s="460">
        <f t="shared" si="1"/>
        <v>0</v>
      </c>
    </row>
    <row r="101" spans="2:5" hidden="1" outlineLevel="2">
      <c r="B101" s="5" t="str">
        <f>+'S1&amp;2 Lists'!C29</f>
        <v>HFO-1336mzz(E)</v>
      </c>
      <c r="C101" s="460">
        <f>+VLOOKUP(B101,'S1&amp;2 Lists'!$C$7:$G$128,3,FALSE)</f>
        <v>26</v>
      </c>
      <c r="D101" s="460">
        <f>ROUND(+SUMIF(Refrigerants!$G$10:$G$654,'Scope 1 and 2 Data'!B101,Refrigerants!$P$10:$P$654),3)</f>
        <v>0</v>
      </c>
      <c r="E101" s="460">
        <f t="shared" si="1"/>
        <v>0</v>
      </c>
    </row>
    <row r="102" spans="2:5" hidden="1" outlineLevel="2">
      <c r="B102" s="5" t="str">
        <f>+'S1&amp;2 Lists'!C30</f>
        <v>HFO-1336mzz(Z)</v>
      </c>
      <c r="C102" s="460">
        <f>+VLOOKUP(B102,'S1&amp;2 Lists'!$C$7:$G$128,3,FALSE)</f>
        <v>2.08</v>
      </c>
      <c r="D102" s="460">
        <f>ROUND(+SUMIF(Refrigerants!$G$10:$G$654,'Scope 1 and 2 Data'!B102,Refrigerants!$P$10:$P$654),3)</f>
        <v>0</v>
      </c>
      <c r="E102" s="460">
        <f t="shared" si="1"/>
        <v>0</v>
      </c>
    </row>
    <row r="103" spans="2:5" hidden="1" outlineLevel="2">
      <c r="B103" s="5" t="str">
        <f>+'S1&amp;2 Lists'!C31</f>
        <v>CH4</v>
      </c>
      <c r="C103" s="460">
        <f>+VLOOKUP(B103,'S1&amp;2 Lists'!$C$7:$G$128,3,FALSE)</f>
        <v>29.8</v>
      </c>
      <c r="D103" s="460">
        <f>ROUND(+SUMIF(Refrigerants!$G$10:$G$654,'Scope 1 and 2 Data'!B103,Refrigerants!$P$10:$P$654),3)</f>
        <v>0</v>
      </c>
      <c r="E103" s="460">
        <f t="shared" si="1"/>
        <v>0</v>
      </c>
    </row>
    <row r="104" spans="2:5" hidden="1" outlineLevel="2">
      <c r="B104" s="5" t="str">
        <f>+'S1&amp;2 Lists'!C32</f>
        <v>Methane (Non-Fossil / Biogenic) (CH4​)</v>
      </c>
      <c r="C104" s="460">
        <f>+VLOOKUP(B104,'S1&amp;2 Lists'!$C$7:$G$128,3,FALSE)</f>
        <v>27</v>
      </c>
      <c r="D104" s="460">
        <f>ROUND(+SUMIF(Refrigerants!$G$10:$G$654,'Scope 1 and 2 Data'!B104,Refrigerants!$P$10:$P$654),3)</f>
        <v>0</v>
      </c>
      <c r="E104" s="460">
        <f t="shared" si="1"/>
        <v>0</v>
      </c>
    </row>
    <row r="105" spans="2:5" hidden="1" outlineLevel="2">
      <c r="B105" s="5" t="str">
        <f>+'S1&amp;2 Lists'!C33</f>
        <v>Nitrogen Trifluoride (NF3​)</v>
      </c>
      <c r="C105" s="460">
        <f>+VLOOKUP(B105,'S1&amp;2 Lists'!$C$7:$G$128,3,FALSE)</f>
        <v>17400</v>
      </c>
      <c r="D105" s="460">
        <f>ROUND(+SUMIF(Refrigerants!$G$10:$G$654,'Scope 1 and 2 Data'!B105,Refrigerants!$P$10:$P$654),3)</f>
        <v>0</v>
      </c>
      <c r="E105" s="460">
        <f t="shared" si="1"/>
        <v>0</v>
      </c>
    </row>
    <row r="106" spans="2:5" hidden="1" outlineLevel="2">
      <c r="B106" s="5" t="str">
        <f>+'S1&amp;2 Lists'!C34</f>
        <v>Nitrous Oxide (N2​O)</v>
      </c>
      <c r="C106" s="460">
        <f>+VLOOKUP(B106,'S1&amp;2 Lists'!$C$7:$G$128,3,FALSE)</f>
        <v>273</v>
      </c>
      <c r="D106" s="460">
        <f>ROUND(+SUMIF(Refrigerants!$G$10:$G$654,'Scope 1 and 2 Data'!B106,Refrigerants!$P$10:$P$654),3)</f>
        <v>0</v>
      </c>
      <c r="E106" s="460">
        <f t="shared" si="1"/>
        <v>0</v>
      </c>
    </row>
    <row r="107" spans="2:5" hidden="1" outlineLevel="2">
      <c r="B107" s="5" t="str">
        <f>+'S1&amp;2 Lists'!C35</f>
        <v>PFC-116</v>
      </c>
      <c r="C107" s="460">
        <f>+VLOOKUP(B107,'S1&amp;2 Lists'!$C$7:$G$128,3,FALSE)</f>
        <v>12400</v>
      </c>
      <c r="D107" s="460">
        <f>ROUND(+SUMIF(Refrigerants!$G$10:$G$654,'Scope 1 and 2 Data'!B107,Refrigerants!$P$10:$P$654),3)</f>
        <v>0</v>
      </c>
      <c r="E107" s="460">
        <f t="shared" si="1"/>
        <v>0</v>
      </c>
    </row>
    <row r="108" spans="2:5" hidden="1" outlineLevel="2">
      <c r="B108" s="5" t="str">
        <f>+'S1&amp;2 Lists'!C36</f>
        <v>PFC-14</v>
      </c>
      <c r="C108" s="460">
        <f>+VLOOKUP(B108,'S1&amp;2 Lists'!$C$7:$G$128,3,FALSE)</f>
        <v>7380</v>
      </c>
      <c r="D108" s="460">
        <f>ROUND(+SUMIF(Refrigerants!$G$10:$G$654,'Scope 1 and 2 Data'!B108,Refrigerants!$P$10:$P$654),3)</f>
        <v>0</v>
      </c>
      <c r="E108" s="460">
        <f t="shared" si="1"/>
        <v>0</v>
      </c>
    </row>
    <row r="109" spans="2:5" hidden="1" outlineLevel="2">
      <c r="B109" s="5" t="str">
        <f>+'S1&amp;2 Lists'!C37</f>
        <v>PFC-218</v>
      </c>
      <c r="C109" s="460">
        <f>+VLOOKUP(B109,'S1&amp;2 Lists'!$C$7:$G$128,3,FALSE)</f>
        <v>9290</v>
      </c>
      <c r="D109" s="460">
        <f>ROUND(+SUMIF(Refrigerants!$G$10:$G$654,'Scope 1 and 2 Data'!B109,Refrigerants!$P$10:$P$654),3)</f>
        <v>0</v>
      </c>
      <c r="E109" s="460">
        <f t="shared" si="1"/>
        <v>0</v>
      </c>
    </row>
    <row r="110" spans="2:5" hidden="1" outlineLevel="2">
      <c r="B110" s="5" t="str">
        <f>+'S1&amp;2 Lists'!C38</f>
        <v>PFC-31-10</v>
      </c>
      <c r="C110" s="460">
        <f>+VLOOKUP(B110,'S1&amp;2 Lists'!$C$7:$G$128,3,FALSE)</f>
        <v>10000</v>
      </c>
      <c r="D110" s="460">
        <f>ROUND(+SUMIF(Refrigerants!$G$10:$G$654,'Scope 1 and 2 Data'!B110,Refrigerants!$P$10:$P$654),3)</f>
        <v>0</v>
      </c>
      <c r="E110" s="460">
        <f t="shared" si="1"/>
        <v>0</v>
      </c>
    </row>
    <row r="111" spans="2:5" hidden="1" outlineLevel="2">
      <c r="B111" s="5" t="str">
        <f>+'S1&amp;2 Lists'!C39</f>
        <v>PFC-318</v>
      </c>
      <c r="C111" s="460">
        <f>+VLOOKUP(B111,'S1&amp;2 Lists'!$C$7:$G$128,3,FALSE)</f>
        <v>10200</v>
      </c>
      <c r="D111" s="460">
        <f>ROUND(+SUMIF(Refrigerants!$G$10:$G$654,'Scope 1 and 2 Data'!B111,Refrigerants!$P$10:$P$654),3)</f>
        <v>0</v>
      </c>
      <c r="E111" s="460">
        <f t="shared" si="1"/>
        <v>0</v>
      </c>
    </row>
    <row r="112" spans="2:5" hidden="1" outlineLevel="2">
      <c r="B112" s="5" t="str">
        <f>+'S1&amp;2 Lists'!C40</f>
        <v>PFC-41-12</v>
      </c>
      <c r="C112" s="460">
        <f>+VLOOKUP(B112,'S1&amp;2 Lists'!$C$7:$G$128,3,FALSE)</f>
        <v>9220</v>
      </c>
      <c r="D112" s="460">
        <f>ROUND(+SUMIF(Refrigerants!$G$10:$G$654,'Scope 1 and 2 Data'!B112,Refrigerants!$P$10:$P$654),3)</f>
        <v>0</v>
      </c>
      <c r="E112" s="460">
        <f t="shared" si="1"/>
        <v>0</v>
      </c>
    </row>
    <row r="113" spans="2:5" hidden="1" outlineLevel="2">
      <c r="B113" s="5" t="str">
        <f>+'S1&amp;2 Lists'!C41</f>
        <v>PFC-51-14</v>
      </c>
      <c r="C113" s="460">
        <f>+VLOOKUP(B113,'S1&amp;2 Lists'!$C$7:$G$128,3,FALSE)</f>
        <v>8620</v>
      </c>
      <c r="D113" s="460">
        <f>ROUND(+SUMIF(Refrigerants!$G$10:$G$654,'Scope 1 and 2 Data'!B113,Refrigerants!$P$10:$P$654),3)</f>
        <v>0</v>
      </c>
      <c r="E113" s="460">
        <f t="shared" si="1"/>
        <v>0</v>
      </c>
    </row>
    <row r="114" spans="2:5" hidden="1" outlineLevel="2">
      <c r="B114" s="5" t="str">
        <f>+'S1&amp;2 Lists'!C42</f>
        <v>PFC-91-18</v>
      </c>
      <c r="C114" s="460">
        <f>+VLOOKUP(B114,'S1&amp;2 Lists'!$C$7:$G$128,3,FALSE)</f>
        <v>7480</v>
      </c>
      <c r="D114" s="460">
        <f>ROUND(+SUMIF(Refrigerants!$G$10:$G$654,'Scope 1 and 2 Data'!B114,Refrigerants!$P$10:$P$654),3)</f>
        <v>0</v>
      </c>
      <c r="E114" s="460">
        <f t="shared" si="1"/>
        <v>0</v>
      </c>
    </row>
    <row r="115" spans="2:5" hidden="1" outlineLevel="2">
      <c r="B115" s="5" t="str">
        <f>+'S1&amp;2 Lists'!C43</f>
        <v>R-11</v>
      </c>
      <c r="C115" s="460">
        <f>+VLOOKUP(B115,'S1&amp;2 Lists'!$C$7:$G$128,3,FALSE)</f>
        <v>6230</v>
      </c>
      <c r="D115" s="460">
        <f>ROUND(+SUMIF(Refrigerants!$G$10:$G$654,'Scope 1 and 2 Data'!B115,Refrigerants!$P$10:$P$654),3)</f>
        <v>0</v>
      </c>
      <c r="E115" s="460">
        <f t="shared" si="1"/>
        <v>0</v>
      </c>
    </row>
    <row r="116" spans="2:5" hidden="1" outlineLevel="2">
      <c r="B116" s="5" t="str">
        <f>+'S1&amp;2 Lists'!C44</f>
        <v>R-12</v>
      </c>
      <c r="C116" s="460">
        <f>+VLOOKUP(B116,'S1&amp;2 Lists'!$C$7:$G$128,3,FALSE)</f>
        <v>12500</v>
      </c>
      <c r="D116" s="460">
        <f>ROUND(+SUMIF(Refrigerants!$G$10:$G$654,'Scope 1 and 2 Data'!B116,Refrigerants!$P$10:$P$654),3)</f>
        <v>0</v>
      </c>
      <c r="E116" s="460">
        <f t="shared" si="1"/>
        <v>0</v>
      </c>
    </row>
    <row r="117" spans="2:5" hidden="1" outlineLevel="2">
      <c r="B117" s="5" t="str">
        <f>+'S1&amp;2 Lists'!C45</f>
        <v>R-123</v>
      </c>
      <c r="C117" s="460">
        <f>+VLOOKUP(B117,'S1&amp;2 Lists'!$C$7:$G$128,3,FALSE)</f>
        <v>90</v>
      </c>
      <c r="D117" s="460">
        <f>ROUND(+SUMIF(Refrigerants!$G$10:$G$654,'Scope 1 and 2 Data'!B117,Refrigerants!$P$10:$P$654),3)</f>
        <v>0</v>
      </c>
      <c r="E117" s="460">
        <f t="shared" si="1"/>
        <v>0</v>
      </c>
    </row>
    <row r="118" spans="2:5" hidden="1" outlineLevel="2">
      <c r="B118" s="5" t="str">
        <f>+'S1&amp;2 Lists'!C46</f>
        <v>R-22</v>
      </c>
      <c r="C118" s="460">
        <f>+VLOOKUP(B118,'S1&amp;2 Lists'!$C$7:$G$128,3,FALSE)</f>
        <v>1960</v>
      </c>
      <c r="D118" s="460">
        <f>ROUND(+SUMIF(Refrigerants!$G$10:$G$654,'Scope 1 and 2 Data'!B118,Refrigerants!$P$10:$P$654),3)</f>
        <v>0</v>
      </c>
      <c r="E118" s="460">
        <f t="shared" si="1"/>
        <v>0</v>
      </c>
    </row>
    <row r="119" spans="2:5" hidden="1" outlineLevel="2">
      <c r="B119" s="5" t="str">
        <f>+'S1&amp;2 Lists'!C47</f>
        <v>R-290</v>
      </c>
      <c r="C119" s="460">
        <f>+VLOOKUP(B119,'S1&amp;2 Lists'!$C$7:$G$128,3,FALSE)</f>
        <v>0.02</v>
      </c>
      <c r="D119" s="460">
        <f>ROUND(+SUMIF(Refrigerants!$G$10:$G$654,'Scope 1 and 2 Data'!B119,Refrigerants!$P$10:$P$654),3)</f>
        <v>0</v>
      </c>
      <c r="E119" s="460">
        <f t="shared" si="1"/>
        <v>0</v>
      </c>
    </row>
    <row r="120" spans="2:5" hidden="1" outlineLevel="2">
      <c r="B120" s="5" t="str">
        <f>+'S1&amp;2 Lists'!C48</f>
        <v>R-401A</v>
      </c>
      <c r="C120" s="460">
        <f>+VLOOKUP(B120,'S1&amp;2 Lists'!$C$7:$G$128,3,FALSE)</f>
        <v>1263</v>
      </c>
      <c r="D120" s="460">
        <f>ROUND(+SUMIF(Refrigerants!$G$10:$G$654,'Scope 1 and 2 Data'!B120,Refrigerants!$P$10:$P$654),3)</f>
        <v>0</v>
      </c>
      <c r="E120" s="460">
        <f t="shared" si="1"/>
        <v>0</v>
      </c>
    </row>
    <row r="121" spans="2:5" hidden="1" outlineLevel="2">
      <c r="B121" s="5" t="str">
        <f>+'S1&amp;2 Lists'!C49</f>
        <v>R-401B</v>
      </c>
      <c r="C121" s="460">
        <f>+VLOOKUP(B121,'S1&amp;2 Lists'!$C$7:$G$128,3,FALSE)</f>
        <v>1382</v>
      </c>
      <c r="D121" s="460">
        <f>ROUND(+SUMIF(Refrigerants!$G$10:$G$654,'Scope 1 and 2 Data'!B121,Refrigerants!$P$10:$P$654),3)</f>
        <v>0</v>
      </c>
      <c r="E121" s="460">
        <f t="shared" si="1"/>
        <v>0</v>
      </c>
    </row>
    <row r="122" spans="2:5" hidden="1" outlineLevel="2">
      <c r="B122" s="5" t="str">
        <f>+'S1&amp;2 Lists'!C50</f>
        <v>R-401C</v>
      </c>
      <c r="C122" s="460">
        <f>+VLOOKUP(B122,'S1&amp;2 Lists'!$C$7:$G$128,3,FALSE)</f>
        <v>942</v>
      </c>
      <c r="D122" s="460">
        <f>ROUND(+SUMIF(Refrigerants!$G$10:$G$654,'Scope 1 and 2 Data'!B122,Refrigerants!$P$10:$P$654),3)</f>
        <v>0</v>
      </c>
      <c r="E122" s="460">
        <f t="shared" si="1"/>
        <v>0</v>
      </c>
    </row>
    <row r="123" spans="2:5" hidden="1" outlineLevel="2">
      <c r="B123" s="5" t="str">
        <f>+'S1&amp;2 Lists'!C51</f>
        <v>R-402A</v>
      </c>
      <c r="C123" s="460">
        <f>+VLOOKUP(B123,'S1&amp;2 Lists'!$C$7:$G$128,3,FALSE)</f>
        <v>2244</v>
      </c>
      <c r="D123" s="460">
        <f>ROUND(+SUMIF(Refrigerants!$G$10:$G$654,'Scope 1 and 2 Data'!B123,Refrigerants!$P$10:$P$654),3)</f>
        <v>0</v>
      </c>
      <c r="E123" s="460">
        <f t="shared" si="1"/>
        <v>0</v>
      </c>
    </row>
    <row r="124" spans="2:5" hidden="1" outlineLevel="2">
      <c r="B124" s="5" t="str">
        <f>+'S1&amp;2 Lists'!C52</f>
        <v>R-402B</v>
      </c>
      <c r="C124" s="460">
        <f>+VLOOKUP(B124,'S1&amp;2 Lists'!$C$7:$G$128,3,FALSE)</f>
        <v>1421</v>
      </c>
      <c r="D124" s="460">
        <f>ROUND(+SUMIF(Refrigerants!$G$10:$G$654,'Scope 1 and 2 Data'!B124,Refrigerants!$P$10:$P$654),3)</f>
        <v>0</v>
      </c>
      <c r="E124" s="460">
        <f t="shared" si="1"/>
        <v>0</v>
      </c>
    </row>
    <row r="125" spans="2:5" hidden="1" outlineLevel="2">
      <c r="B125" s="5" t="str">
        <f>+'S1&amp;2 Lists'!C53</f>
        <v>R-403A</v>
      </c>
      <c r="C125" s="460">
        <f>+VLOOKUP(B125,'S1&amp;2 Lists'!$C$7:$G$128,3,FALSE)</f>
        <v>1858</v>
      </c>
      <c r="D125" s="460">
        <f>ROUND(+SUMIF(Refrigerants!$G$10:$G$654,'Scope 1 and 2 Data'!B125,Refrigerants!$P$10:$P$654),3)</f>
        <v>0</v>
      </c>
      <c r="E125" s="460">
        <f t="shared" si="1"/>
        <v>0</v>
      </c>
    </row>
    <row r="126" spans="2:5" hidden="1" outlineLevel="2">
      <c r="B126" s="5" t="str">
        <f>+'S1&amp;2 Lists'!C54</f>
        <v>R-403B</v>
      </c>
      <c r="C126" s="460">
        <f>+VLOOKUP(B126,'S1&amp;2 Lists'!$C$7:$G$128,3,FALSE)</f>
        <v>3623</v>
      </c>
      <c r="D126" s="460">
        <f>ROUND(+SUMIF(Refrigerants!$G$10:$G$654,'Scope 1 and 2 Data'!B126,Refrigerants!$P$10:$P$654),3)</f>
        <v>0</v>
      </c>
      <c r="E126" s="460">
        <f t="shared" si="1"/>
        <v>0</v>
      </c>
    </row>
    <row r="127" spans="2:5" hidden="1" outlineLevel="2">
      <c r="B127" s="5" t="str">
        <f>+'S1&amp;2 Lists'!C55</f>
        <v>R-404A</v>
      </c>
      <c r="C127" s="460">
        <f>+VLOOKUP(B127,'S1&amp;2 Lists'!$C$7:$G$128,3,FALSE)</f>
        <v>4728</v>
      </c>
      <c r="D127" s="460">
        <f>ROUND(+SUMIF(Refrigerants!$G$10:$G$654,'Scope 1 and 2 Data'!B127,Refrigerants!$P$10:$P$654),3)</f>
        <v>0</v>
      </c>
      <c r="E127" s="460">
        <f t="shared" si="1"/>
        <v>0</v>
      </c>
    </row>
    <row r="128" spans="2:5" hidden="1" outlineLevel="2">
      <c r="B128" s="5" t="str">
        <f>+'S1&amp;2 Lists'!C56</f>
        <v>R-406A</v>
      </c>
      <c r="C128" s="460">
        <f>+VLOOKUP(B128,'S1&amp;2 Lists'!$C$7:$G$128,3,FALSE)</f>
        <v>1780</v>
      </c>
      <c r="D128" s="460">
        <f>ROUND(+SUMIF(Refrigerants!$G$10:$G$654,'Scope 1 and 2 Data'!B128,Refrigerants!$P$10:$P$654),3)</f>
        <v>0</v>
      </c>
      <c r="E128" s="460">
        <f t="shared" si="1"/>
        <v>0</v>
      </c>
    </row>
    <row r="129" spans="2:5" hidden="1" outlineLevel="2">
      <c r="B129" s="5" t="str">
        <f>+'S1&amp;2 Lists'!C57</f>
        <v>R-407A</v>
      </c>
      <c r="C129" s="460">
        <f>+VLOOKUP(B129,'S1&amp;2 Lists'!$C$7:$G$128,3,FALSE)</f>
        <v>2262</v>
      </c>
      <c r="D129" s="460">
        <f>ROUND(+SUMIF(Refrigerants!$G$10:$G$654,'Scope 1 and 2 Data'!B129,Refrigerants!$P$10:$P$654),3)</f>
        <v>0</v>
      </c>
      <c r="E129" s="460">
        <f t="shared" si="1"/>
        <v>0</v>
      </c>
    </row>
    <row r="130" spans="2:5" hidden="1" outlineLevel="2">
      <c r="B130" s="5" t="str">
        <f>+'S1&amp;2 Lists'!C58</f>
        <v>R-407B</v>
      </c>
      <c r="C130" s="460">
        <f>+VLOOKUP(B130,'S1&amp;2 Lists'!$C$7:$G$128,3,FALSE)</f>
        <v>2934</v>
      </c>
      <c r="D130" s="460">
        <f>ROUND(+SUMIF(Refrigerants!$G$10:$G$654,'Scope 1 and 2 Data'!B130,Refrigerants!$P$10:$P$654),3)</f>
        <v>0</v>
      </c>
      <c r="E130" s="460">
        <f t="shared" si="1"/>
        <v>0</v>
      </c>
    </row>
    <row r="131" spans="2:5" hidden="1" outlineLevel="2">
      <c r="B131" s="5" t="str">
        <f>+'S1&amp;2 Lists'!C59</f>
        <v>R-407C</v>
      </c>
      <c r="C131" s="460">
        <f>+VLOOKUP(B131,'S1&amp;2 Lists'!$C$7:$G$128,3,FALSE)</f>
        <v>1908</v>
      </c>
      <c r="D131" s="460">
        <f>ROUND(+SUMIF(Refrigerants!$G$10:$G$654,'Scope 1 and 2 Data'!B131,Refrigerants!$P$10:$P$654),3)</f>
        <v>0</v>
      </c>
      <c r="E131" s="460">
        <f t="shared" si="1"/>
        <v>0</v>
      </c>
    </row>
    <row r="132" spans="2:5" hidden="1" outlineLevel="2">
      <c r="B132" s="5" t="str">
        <f>+'S1&amp;2 Lists'!C60</f>
        <v>R-407D</v>
      </c>
      <c r="C132" s="460">
        <f>+VLOOKUP(B132,'S1&amp;2 Lists'!$C$7:$G$128,3,FALSE)</f>
        <v>1748</v>
      </c>
      <c r="D132" s="460">
        <f>ROUND(+SUMIF(Refrigerants!$G$10:$G$654,'Scope 1 and 2 Data'!B132,Refrigerants!$P$10:$P$654),3)</f>
        <v>0</v>
      </c>
      <c r="E132" s="460">
        <f t="shared" si="1"/>
        <v>0</v>
      </c>
    </row>
    <row r="133" spans="2:5" hidden="1" outlineLevel="2">
      <c r="B133" s="5" t="str">
        <f>+'S1&amp;2 Lists'!C61</f>
        <v>R-407E</v>
      </c>
      <c r="C133" s="460">
        <f>+VLOOKUP(B133,'S1&amp;2 Lists'!$C$7:$G$128,3,FALSE)</f>
        <v>1672</v>
      </c>
      <c r="D133" s="460">
        <f>ROUND(+SUMIF(Refrigerants!$G$10:$G$654,'Scope 1 and 2 Data'!B133,Refrigerants!$P$10:$P$654),3)</f>
        <v>0</v>
      </c>
      <c r="E133" s="460">
        <f t="shared" si="1"/>
        <v>0</v>
      </c>
    </row>
    <row r="134" spans="2:5" hidden="1" outlineLevel="2">
      <c r="B134" s="5" t="str">
        <f>+'S1&amp;2 Lists'!C62</f>
        <v>R-407F</v>
      </c>
      <c r="C134" s="460">
        <f>+VLOOKUP(B134,'S1&amp;2 Lists'!$C$7:$G$128,3,FALSE)</f>
        <v>1965</v>
      </c>
      <c r="D134" s="460">
        <f>ROUND(+SUMIF(Refrigerants!$G$10:$G$654,'Scope 1 and 2 Data'!B134,Refrigerants!$P$10:$P$654),3)</f>
        <v>0</v>
      </c>
      <c r="E134" s="460">
        <f t="shared" si="1"/>
        <v>0</v>
      </c>
    </row>
    <row r="135" spans="2:5" hidden="1" outlineLevel="2">
      <c r="B135" s="5" t="str">
        <f>+'S1&amp;2 Lists'!C63</f>
        <v>R-408A</v>
      </c>
      <c r="C135" s="460">
        <f>+VLOOKUP(B135,'S1&amp;2 Lists'!$C$7:$G$128,3,FALSE)</f>
        <v>3856</v>
      </c>
      <c r="D135" s="460">
        <f>ROUND(+SUMIF(Refrigerants!$G$10:$G$654,'Scope 1 and 2 Data'!B135,Refrigerants!$P$10:$P$654),3)</f>
        <v>0</v>
      </c>
      <c r="E135" s="460">
        <f t="shared" si="1"/>
        <v>0</v>
      </c>
    </row>
    <row r="136" spans="2:5" hidden="1" outlineLevel="2">
      <c r="B136" s="5" t="str">
        <f>+'S1&amp;2 Lists'!C64</f>
        <v>R-409A</v>
      </c>
      <c r="C136" s="460">
        <f>+VLOOKUP(B136,'S1&amp;2 Lists'!$C$7:$G$128,3,FALSE)</f>
        <v>1670</v>
      </c>
      <c r="D136" s="460">
        <f>ROUND(+SUMIF(Refrigerants!$G$10:$G$654,'Scope 1 and 2 Data'!B136,Refrigerants!$P$10:$P$654),3)</f>
        <v>0</v>
      </c>
      <c r="E136" s="460">
        <f t="shared" si="1"/>
        <v>0</v>
      </c>
    </row>
    <row r="137" spans="2:5" hidden="1" outlineLevel="2">
      <c r="B137" s="5" t="str">
        <f>+'S1&amp;2 Lists'!C65</f>
        <v>R-409B</v>
      </c>
      <c r="C137" s="460">
        <f>+VLOOKUP(B137,'S1&amp;2 Lists'!$C$7:$G$128,3,FALSE)</f>
        <v>0</v>
      </c>
      <c r="D137" s="460">
        <f>ROUND(+SUMIF(Refrigerants!$G$10:$G$654,'Scope 1 and 2 Data'!B137,Refrigerants!$P$10:$P$654),3)</f>
        <v>0</v>
      </c>
      <c r="E137" s="460">
        <f t="shared" si="1"/>
        <v>0</v>
      </c>
    </row>
    <row r="138" spans="2:5" hidden="1" outlineLevel="2">
      <c r="B138" s="5" t="str">
        <f>+'S1&amp;2 Lists'!C66</f>
        <v>R-410A</v>
      </c>
      <c r="C138" s="460">
        <f>+VLOOKUP(B138,'S1&amp;2 Lists'!$C$7:$G$128,3,FALSE)</f>
        <v>2256</v>
      </c>
      <c r="D138" s="460">
        <f>ROUND(+SUMIF(Refrigerants!$G$10:$G$654,'Scope 1 and 2 Data'!B138,Refrigerants!$P$10:$P$654),3)</f>
        <v>0</v>
      </c>
      <c r="E138" s="460">
        <f t="shared" si="1"/>
        <v>0</v>
      </c>
    </row>
    <row r="139" spans="2:5" hidden="1" outlineLevel="2">
      <c r="B139" s="5" t="str">
        <f>+'S1&amp;2 Lists'!C67</f>
        <v>R-410B</v>
      </c>
      <c r="C139" s="460">
        <f>+VLOOKUP(B139,'S1&amp;2 Lists'!$C$7:$G$128,3,FALSE)</f>
        <v>2404</v>
      </c>
      <c r="D139" s="460">
        <f>ROUND(+SUMIF(Refrigerants!$G$10:$G$654,'Scope 1 and 2 Data'!B139,Refrigerants!$P$10:$P$654),3)</f>
        <v>0</v>
      </c>
      <c r="E139" s="460">
        <f t="shared" si="1"/>
        <v>0</v>
      </c>
    </row>
    <row r="140" spans="2:5" hidden="1" outlineLevel="2">
      <c r="B140" s="5" t="str">
        <f>+'S1&amp;2 Lists'!C68</f>
        <v>R-411A</v>
      </c>
      <c r="C140" s="460">
        <f>+VLOOKUP(B140,'S1&amp;2 Lists'!$C$7:$G$128,3,FALSE)</f>
        <v>1733</v>
      </c>
      <c r="D140" s="460">
        <f>ROUND(+SUMIF(Refrigerants!$G$10:$G$654,'Scope 1 and 2 Data'!B140,Refrigerants!$P$10:$P$654),3)</f>
        <v>0</v>
      </c>
      <c r="E140" s="460">
        <f t="shared" ref="E140:E175" si="2">+C140*D140</f>
        <v>0</v>
      </c>
    </row>
    <row r="141" spans="2:5" hidden="1" outlineLevel="2">
      <c r="B141" s="5" t="str">
        <f>+'S1&amp;2 Lists'!C69</f>
        <v>R-411B</v>
      </c>
      <c r="C141" s="460">
        <f>+VLOOKUP(B141,'S1&amp;2 Lists'!$C$7:$G$128,3,FALSE)</f>
        <v>1847</v>
      </c>
      <c r="D141" s="460">
        <f>ROUND(+SUMIF(Refrigerants!$G$10:$G$654,'Scope 1 and 2 Data'!B141,Refrigerants!$P$10:$P$654),3)</f>
        <v>0</v>
      </c>
      <c r="E141" s="460">
        <f t="shared" si="2"/>
        <v>0</v>
      </c>
    </row>
    <row r="142" spans="2:5" hidden="1" outlineLevel="2">
      <c r="B142" s="5" t="str">
        <f>+'S1&amp;2 Lists'!C70</f>
        <v>R-412A</v>
      </c>
      <c r="C142" s="460">
        <f>+VLOOKUP(B142,'S1&amp;2 Lists'!$C$7:$G$128,3,FALSE)</f>
        <v>465</v>
      </c>
      <c r="D142" s="460">
        <f>ROUND(+SUMIF(Refrigerants!$G$10:$G$654,'Scope 1 and 2 Data'!B142,Refrigerants!$P$10:$P$654),3)</f>
        <v>0</v>
      </c>
      <c r="E142" s="460">
        <f t="shared" si="2"/>
        <v>0</v>
      </c>
    </row>
    <row r="143" spans="2:5" hidden="1" outlineLevel="2">
      <c r="B143" s="5" t="str">
        <f>+'S1&amp;2 Lists'!C71</f>
        <v>R-415A</v>
      </c>
      <c r="C143" s="460">
        <f>+VLOOKUP(B143,'S1&amp;2 Lists'!$C$7:$G$128,3,FALSE)</f>
        <v>1635</v>
      </c>
      <c r="D143" s="460">
        <f>ROUND(+SUMIF(Refrigerants!$G$10:$G$654,'Scope 1 and 2 Data'!B143,Refrigerants!$P$10:$P$654),3)</f>
        <v>0</v>
      </c>
      <c r="E143" s="460">
        <f t="shared" si="2"/>
        <v>0</v>
      </c>
    </row>
    <row r="144" spans="2:5" hidden="1" outlineLevel="2">
      <c r="B144" s="5" t="str">
        <f>+'S1&amp;2 Lists'!C72</f>
        <v>R-415B</v>
      </c>
      <c r="C144" s="460">
        <f>+VLOOKUP(B144,'S1&amp;2 Lists'!$C$7:$G$128,3,FALSE)</f>
        <v>605</v>
      </c>
      <c r="D144" s="460">
        <f>ROUND(+SUMIF(Refrigerants!$G$10:$G$654,'Scope 1 and 2 Data'!B144,Refrigerants!$P$10:$P$654),3)</f>
        <v>0</v>
      </c>
      <c r="E144" s="460">
        <f t="shared" si="2"/>
        <v>0</v>
      </c>
    </row>
    <row r="145" spans="2:5" hidden="1" outlineLevel="2">
      <c r="B145" s="5" t="str">
        <f>+'S1&amp;2 Lists'!C73</f>
        <v>R-416A</v>
      </c>
      <c r="C145" s="460">
        <f>+VLOOKUP(B145,'S1&amp;2 Lists'!$C$7:$G$128,3,FALSE)</f>
        <v>903</v>
      </c>
      <c r="D145" s="460">
        <f>ROUND(+SUMIF(Refrigerants!$G$10:$G$654,'Scope 1 and 2 Data'!B145,Refrigerants!$P$10:$P$654),3)</f>
        <v>0</v>
      </c>
      <c r="E145" s="460">
        <f t="shared" si="2"/>
        <v>0</v>
      </c>
    </row>
    <row r="146" spans="2:5" hidden="1" outlineLevel="2">
      <c r="B146" s="5" t="str">
        <f>+'S1&amp;2 Lists'!C74</f>
        <v>R-417A</v>
      </c>
      <c r="C146" s="460">
        <f>+VLOOKUP(B146,'S1&amp;2 Lists'!$C$7:$G$128,3,FALSE)</f>
        <v>2508</v>
      </c>
      <c r="D146" s="460">
        <f>ROUND(+SUMIF(Refrigerants!$G$10:$G$654,'Scope 1 and 2 Data'!B146,Refrigerants!$P$10:$P$654),3)</f>
        <v>0</v>
      </c>
      <c r="E146" s="460">
        <f t="shared" si="2"/>
        <v>0</v>
      </c>
    </row>
    <row r="147" spans="2:5" hidden="1" outlineLevel="2">
      <c r="B147" s="5" t="str">
        <f>+'S1&amp;2 Lists'!C75</f>
        <v>R-417B</v>
      </c>
      <c r="C147" s="460">
        <f>+VLOOKUP(B147,'S1&amp;2 Lists'!$C$7:$G$128,3,FALSE)</f>
        <v>3235</v>
      </c>
      <c r="D147" s="460">
        <f>ROUND(+SUMIF(Refrigerants!$G$10:$G$654,'Scope 1 and 2 Data'!B147,Refrigerants!$P$10:$P$654),3)</f>
        <v>0</v>
      </c>
      <c r="E147" s="460">
        <f t="shared" si="2"/>
        <v>0</v>
      </c>
    </row>
    <row r="148" spans="2:5" hidden="1" outlineLevel="2">
      <c r="B148" s="5" t="str">
        <f>+'S1&amp;2 Lists'!C76</f>
        <v>R-417C</v>
      </c>
      <c r="C148" s="460">
        <f>+VLOOKUP(B148,'S1&amp;2 Lists'!$C$7:$G$128,3,FALSE)</f>
        <v>1935</v>
      </c>
      <c r="D148" s="460">
        <f>ROUND(+SUMIF(Refrigerants!$G$10:$G$654,'Scope 1 and 2 Data'!B148,Refrigerants!$P$10:$P$654),3)</f>
        <v>0</v>
      </c>
      <c r="E148" s="460">
        <f t="shared" si="2"/>
        <v>0</v>
      </c>
    </row>
    <row r="149" spans="2:5" hidden="1" outlineLevel="2">
      <c r="B149" s="5" t="str">
        <f>+'S1&amp;2 Lists'!C77</f>
        <v>R-418A</v>
      </c>
      <c r="C149" s="460">
        <f>+VLOOKUP(B149,'S1&amp;2 Lists'!$C$7:$G$128,3,FALSE)</f>
        <v>1885</v>
      </c>
      <c r="D149" s="460">
        <f>ROUND(+SUMIF(Refrigerants!$G$10:$G$654,'Scope 1 and 2 Data'!B149,Refrigerants!$P$10:$P$654),3)</f>
        <v>0</v>
      </c>
      <c r="E149" s="460">
        <f t="shared" si="2"/>
        <v>0</v>
      </c>
    </row>
    <row r="150" spans="2:5" hidden="1" outlineLevel="2">
      <c r="B150" s="5" t="str">
        <f>+'S1&amp;2 Lists'!C78</f>
        <v>R-419A</v>
      </c>
      <c r="C150" s="460">
        <f>+VLOOKUP(B150,'S1&amp;2 Lists'!$C$7:$G$128,3,FALSE)</f>
        <v>3171</v>
      </c>
      <c r="D150" s="460">
        <f>ROUND(+SUMIF(Refrigerants!$G$10:$G$654,'Scope 1 and 2 Data'!B150,Refrigerants!$P$10:$P$654),3)</f>
        <v>0</v>
      </c>
      <c r="E150" s="460">
        <f t="shared" si="2"/>
        <v>0</v>
      </c>
    </row>
    <row r="151" spans="2:5" hidden="1" outlineLevel="2">
      <c r="B151" s="5" t="str">
        <f>+'S1&amp;2 Lists'!C79</f>
        <v>R-419B</v>
      </c>
      <c r="C151" s="460">
        <f>+VLOOKUP(B151,'S1&amp;2 Lists'!$C$7:$G$128,3,FALSE)</f>
        <v>2548</v>
      </c>
      <c r="D151" s="460">
        <f>ROUND(+SUMIF(Refrigerants!$G$10:$G$654,'Scope 1 and 2 Data'!B151,Refrigerants!$P$10:$P$654),3)</f>
        <v>0</v>
      </c>
      <c r="E151" s="460">
        <f t="shared" si="2"/>
        <v>0</v>
      </c>
    </row>
    <row r="152" spans="2:5" hidden="1" outlineLevel="2">
      <c r="B152" s="5" t="str">
        <f>+'S1&amp;2 Lists'!C80</f>
        <v>R-420A</v>
      </c>
      <c r="C152" s="460">
        <f>+VLOOKUP(B152,'S1&amp;2 Lists'!$C$7:$G$128,3,FALSE)</f>
        <v>1258</v>
      </c>
      <c r="D152" s="460">
        <f>ROUND(+SUMIF(Refrigerants!$G$10:$G$654,'Scope 1 and 2 Data'!B152,Refrigerants!$P$10:$P$654),3)</f>
        <v>0</v>
      </c>
      <c r="E152" s="460">
        <f t="shared" si="2"/>
        <v>0</v>
      </c>
    </row>
    <row r="153" spans="2:5" hidden="1" outlineLevel="2">
      <c r="B153" s="5" t="str">
        <f>+'S1&amp;2 Lists'!C81</f>
        <v>R-421A</v>
      </c>
      <c r="C153" s="460">
        <f>+VLOOKUP(B153,'S1&amp;2 Lists'!$C$7:$G$128,3,FALSE)</f>
        <v>2631</v>
      </c>
      <c r="D153" s="460">
        <f>ROUND(+SUMIF(Refrigerants!$G$10:$G$654,'Scope 1 and 2 Data'!B153,Refrigerants!$P$10:$P$654),3)</f>
        <v>0</v>
      </c>
      <c r="E153" s="460">
        <f t="shared" si="2"/>
        <v>0</v>
      </c>
    </row>
    <row r="154" spans="2:5" hidden="1" outlineLevel="2">
      <c r="B154" s="5" t="str">
        <f>+'S1&amp;2 Lists'!C82</f>
        <v>R-421B</v>
      </c>
      <c r="C154" s="460">
        <f>+VLOOKUP(B154,'S1&amp;2 Lists'!$C$7:$G$128,3,FALSE)</f>
        <v>3190</v>
      </c>
      <c r="D154" s="460">
        <f>ROUND(+SUMIF(Refrigerants!$G$10:$G$654,'Scope 1 and 2 Data'!B154,Refrigerants!$P$10:$P$654),3)</f>
        <v>0</v>
      </c>
      <c r="E154" s="460">
        <f t="shared" si="2"/>
        <v>0</v>
      </c>
    </row>
    <row r="155" spans="2:5" hidden="1" outlineLevel="2">
      <c r="B155" s="5" t="str">
        <f>+'S1&amp;2 Lists'!C83</f>
        <v>R-422A</v>
      </c>
      <c r="C155" s="460">
        <f>+VLOOKUP(B155,'S1&amp;2 Lists'!$C$7:$G$128,3,FALSE)</f>
        <v>3143</v>
      </c>
      <c r="D155" s="460">
        <f>ROUND(+SUMIF(Refrigerants!$G$10:$G$654,'Scope 1 and 2 Data'!B155,Refrigerants!$P$10:$P$654),3)</f>
        <v>0</v>
      </c>
      <c r="E155" s="460">
        <f t="shared" si="2"/>
        <v>0</v>
      </c>
    </row>
    <row r="156" spans="2:5" hidden="1" outlineLevel="2">
      <c r="B156" s="5" t="str">
        <f>+'S1&amp;2 Lists'!C84</f>
        <v>R-422B</v>
      </c>
      <c r="C156" s="460">
        <f>+VLOOKUP(B156,'S1&amp;2 Lists'!$C$7:$G$128,3,FALSE)</f>
        <v>2526</v>
      </c>
      <c r="D156" s="460">
        <f>ROUND(+SUMIF(Refrigerants!$G$10:$G$654,'Scope 1 and 2 Data'!B156,Refrigerants!$P$10:$P$654),3)</f>
        <v>0</v>
      </c>
      <c r="E156" s="460">
        <f t="shared" si="2"/>
        <v>0</v>
      </c>
    </row>
    <row r="157" spans="2:5" hidden="1" outlineLevel="2">
      <c r="B157" s="5" t="str">
        <f>+'S1&amp;2 Lists'!C85</f>
        <v>R-422C</v>
      </c>
      <c r="C157" s="460">
        <f>+VLOOKUP(B157,'S1&amp;2 Lists'!$C$7:$G$128,3,FALSE)</f>
        <v>3085</v>
      </c>
      <c r="D157" s="460">
        <f>ROUND(+SUMIF(Refrigerants!$G$10:$G$654,'Scope 1 and 2 Data'!B157,Refrigerants!$P$10:$P$654),3)</f>
        <v>0</v>
      </c>
      <c r="E157" s="460">
        <f t="shared" si="2"/>
        <v>0</v>
      </c>
    </row>
    <row r="158" spans="2:5" hidden="1" outlineLevel="2">
      <c r="B158" s="5" t="str">
        <f>+'S1&amp;2 Lists'!C86</f>
        <v>R-422D</v>
      </c>
      <c r="C158" s="460">
        <f>+VLOOKUP(B158,'S1&amp;2 Lists'!$C$7:$G$128,3,FALSE)</f>
        <v>2917</v>
      </c>
      <c r="D158" s="460">
        <f>ROUND(+SUMIF(Refrigerants!$G$10:$G$654,'Scope 1 and 2 Data'!B158,Refrigerants!$P$10:$P$654),3)</f>
        <v>0</v>
      </c>
      <c r="E158" s="460">
        <f t="shared" si="2"/>
        <v>0</v>
      </c>
    </row>
    <row r="159" spans="2:5" hidden="1" outlineLevel="2">
      <c r="B159" s="5" t="str">
        <f>+'S1&amp;2 Lists'!C87</f>
        <v>R-422E</v>
      </c>
      <c r="C159" s="460">
        <f>+VLOOKUP(B159,'S1&amp;2 Lists'!$C$7:$G$128,3,FALSE)</f>
        <v>2770</v>
      </c>
      <c r="D159" s="460">
        <f>ROUND(+SUMIF(Refrigerants!$G$10:$G$654,'Scope 1 and 2 Data'!B159,Refrigerants!$P$10:$P$654),3)</f>
        <v>0</v>
      </c>
      <c r="E159" s="460">
        <f t="shared" si="2"/>
        <v>0</v>
      </c>
    </row>
    <row r="160" spans="2:5" hidden="1" outlineLevel="2">
      <c r="B160" s="5" t="str">
        <f>+'S1&amp;2 Lists'!C88</f>
        <v>R-423A</v>
      </c>
      <c r="C160" s="460">
        <f>+VLOOKUP(B160,'S1&amp;2 Lists'!$C$7:$G$128,3,FALSE)</f>
        <v>2513</v>
      </c>
      <c r="D160" s="460">
        <f>ROUND(+SUMIF(Refrigerants!$G$10:$G$654,'Scope 1 and 2 Data'!B160,Refrigerants!$P$10:$P$654),3)</f>
        <v>0</v>
      </c>
      <c r="E160" s="460">
        <f t="shared" si="2"/>
        <v>0</v>
      </c>
    </row>
    <row r="161" spans="2:5" hidden="1" outlineLevel="2">
      <c r="B161" s="5" t="str">
        <f>+'S1&amp;2 Lists'!C89</f>
        <v>R-424A</v>
      </c>
      <c r="C161" s="460">
        <f>+VLOOKUP(B161,'S1&amp;2 Lists'!$C$7:$G$128,3,FALSE)</f>
        <v>2608</v>
      </c>
      <c r="D161" s="460">
        <f>ROUND(+SUMIF(Refrigerants!$G$10:$G$654,'Scope 1 and 2 Data'!B161,Refrigerants!$P$10:$P$654),3)</f>
        <v>0</v>
      </c>
      <c r="E161" s="460">
        <f t="shared" si="2"/>
        <v>0</v>
      </c>
    </row>
    <row r="162" spans="2:5" hidden="1" outlineLevel="2">
      <c r="B162" s="5" t="str">
        <f>+'S1&amp;2 Lists'!C90</f>
        <v>R-425A</v>
      </c>
      <c r="C162" s="460">
        <f>+VLOOKUP(B162,'S1&amp;2 Lists'!$C$7:$G$128,3,FALSE)</f>
        <v>1505</v>
      </c>
      <c r="D162" s="460">
        <f>ROUND(+SUMIF(Refrigerants!$G$10:$G$654,'Scope 1 and 2 Data'!B162,Refrigerants!$P$10:$P$654),3)</f>
        <v>0</v>
      </c>
      <c r="E162" s="460">
        <f t="shared" si="2"/>
        <v>0</v>
      </c>
    </row>
    <row r="163" spans="2:5" hidden="1" outlineLevel="2">
      <c r="B163" s="5" t="str">
        <f>+'S1&amp;2 Lists'!C91</f>
        <v>R-426A</v>
      </c>
      <c r="C163" s="460">
        <f>+VLOOKUP(B163,'S1&amp;2 Lists'!$C$7:$G$128,3,FALSE)</f>
        <v>1508</v>
      </c>
      <c r="D163" s="460">
        <f>ROUND(+SUMIF(Refrigerants!$G$10:$G$654,'Scope 1 and 2 Data'!B163,Refrigerants!$P$10:$P$654),3)</f>
        <v>0</v>
      </c>
      <c r="E163" s="460">
        <f t="shared" si="2"/>
        <v>0</v>
      </c>
    </row>
    <row r="164" spans="2:5" hidden="1" outlineLevel="2">
      <c r="B164" s="5" t="str">
        <f>+'S1&amp;2 Lists'!C92</f>
        <v>R-427A</v>
      </c>
      <c r="C164" s="460">
        <f>+VLOOKUP(B164,'S1&amp;2 Lists'!$C$7:$G$128,3,FALSE)</f>
        <v>2397</v>
      </c>
      <c r="D164" s="460">
        <f>ROUND(+SUMIF(Refrigerants!$G$10:$G$654,'Scope 1 and 2 Data'!B164,Refrigerants!$P$10:$P$654),3)</f>
        <v>0</v>
      </c>
      <c r="E164" s="460">
        <f t="shared" si="2"/>
        <v>0</v>
      </c>
    </row>
    <row r="165" spans="2:5" hidden="1" outlineLevel="2">
      <c r="B165" s="5" t="str">
        <f>+'S1&amp;2 Lists'!C93</f>
        <v>R-428A</v>
      </c>
      <c r="C165" s="460">
        <f>+VLOOKUP(B165,'S1&amp;2 Lists'!$C$7:$G$128,3,FALSE)</f>
        <v>4061</v>
      </c>
      <c r="D165" s="460">
        <f>ROUND(+SUMIF(Refrigerants!$G$10:$G$654,'Scope 1 and 2 Data'!B165,Refrigerants!$P$10:$P$654),3)</f>
        <v>0</v>
      </c>
      <c r="E165" s="460">
        <f t="shared" si="2"/>
        <v>0</v>
      </c>
    </row>
    <row r="166" spans="2:5" hidden="1" outlineLevel="2">
      <c r="B166" s="5" t="str">
        <f>+'S1&amp;2 Lists'!C94</f>
        <v>R-429A</v>
      </c>
      <c r="C166" s="460">
        <f>+VLOOKUP(B166,'S1&amp;2 Lists'!$C$7:$G$128,3,FALSE)</f>
        <v>16</v>
      </c>
      <c r="D166" s="460">
        <f>ROUND(+SUMIF(Refrigerants!$G$10:$G$654,'Scope 1 and 2 Data'!B166,Refrigerants!$P$10:$P$654),3)</f>
        <v>0</v>
      </c>
      <c r="E166" s="460">
        <f t="shared" si="2"/>
        <v>0</v>
      </c>
    </row>
    <row r="167" spans="2:5" hidden="1" outlineLevel="2">
      <c r="B167" s="5" t="str">
        <f>+'S1&amp;2 Lists'!C95</f>
        <v>R-430A</v>
      </c>
      <c r="C167" s="460">
        <f>+VLOOKUP(B167,'S1&amp;2 Lists'!$C$7:$G$128,3,FALSE)</f>
        <v>116</v>
      </c>
      <c r="D167" s="460">
        <f>ROUND(+SUMIF(Refrigerants!$G$10:$G$654,'Scope 1 and 2 Data'!B167,Refrigerants!$P$10:$P$654),3)</f>
        <v>0</v>
      </c>
      <c r="E167" s="460">
        <f t="shared" si="2"/>
        <v>0</v>
      </c>
    </row>
    <row r="168" spans="2:5" hidden="1" outlineLevel="2">
      <c r="B168" s="5" t="str">
        <f>+'S1&amp;2 Lists'!C96</f>
        <v>R-431A</v>
      </c>
      <c r="C168" s="460">
        <f>+VLOOKUP(B168,'S1&amp;2 Lists'!$C$7:$G$128,3,FALSE)</f>
        <v>44</v>
      </c>
      <c r="D168" s="460">
        <f>ROUND(+SUMIF(Refrigerants!$G$10:$G$654,'Scope 1 and 2 Data'!B168,Refrigerants!$P$10:$P$654),3)</f>
        <v>0</v>
      </c>
      <c r="E168" s="460">
        <f t="shared" si="2"/>
        <v>0</v>
      </c>
    </row>
    <row r="169" spans="2:5" hidden="1" outlineLevel="2">
      <c r="B169" s="5" t="str">
        <f>+'S1&amp;2 Lists'!C97</f>
        <v>R-434A</v>
      </c>
      <c r="C169" s="460">
        <f>+VLOOKUP(B169,'S1&amp;2 Lists'!$C$7:$G$128,3,FALSE)</f>
        <v>3654</v>
      </c>
      <c r="D169" s="460">
        <f>ROUND(+SUMIF(Refrigerants!$G$10:$G$654,'Scope 1 and 2 Data'!B169,Refrigerants!$P$10:$P$654),3)</f>
        <v>0</v>
      </c>
      <c r="E169" s="460">
        <f t="shared" si="2"/>
        <v>0</v>
      </c>
    </row>
    <row r="170" spans="2:5" hidden="1" outlineLevel="2">
      <c r="B170" s="5" t="str">
        <f>+'S1&amp;2 Lists'!C98</f>
        <v>R-435A</v>
      </c>
      <c r="C170" s="460">
        <f>+VLOOKUP(B170,'S1&amp;2 Lists'!$C$7:$G$128,3,FALSE)</f>
        <v>31</v>
      </c>
      <c r="D170" s="460">
        <f>ROUND(+SUMIF(Refrigerants!$G$10:$G$654,'Scope 1 and 2 Data'!B170,Refrigerants!$P$10:$P$654),3)</f>
        <v>0</v>
      </c>
      <c r="E170" s="460">
        <f t="shared" si="2"/>
        <v>0</v>
      </c>
    </row>
    <row r="171" spans="2:5" hidden="1" outlineLevel="2">
      <c r="B171" s="5" t="str">
        <f>+'S1&amp;2 Lists'!C99</f>
        <v>R-437A</v>
      </c>
      <c r="C171" s="460">
        <f>+VLOOKUP(B171,'S1&amp;2 Lists'!$C$7:$G$128,3,FALSE)</f>
        <v>1930</v>
      </c>
      <c r="D171" s="460">
        <f>ROUND(+SUMIF(Refrigerants!$G$10:$G$654,'Scope 1 and 2 Data'!B171,Refrigerants!$P$10:$P$654),3)</f>
        <v>0</v>
      </c>
      <c r="E171" s="460">
        <f t="shared" si="2"/>
        <v>0</v>
      </c>
    </row>
    <row r="172" spans="2:5" hidden="1" outlineLevel="2">
      <c r="B172" s="5" t="str">
        <f>+'S1&amp;2 Lists'!C100</f>
        <v>R-438A</v>
      </c>
      <c r="C172" s="460">
        <f>+VLOOKUP(B172,'S1&amp;2 Lists'!$C$7:$G$128,3,FALSE)</f>
        <v>2425</v>
      </c>
      <c r="D172" s="460">
        <f>ROUND(+SUMIF(Refrigerants!$G$10:$G$654,'Scope 1 and 2 Data'!B172,Refrigerants!$P$10:$P$654),3)</f>
        <v>0</v>
      </c>
      <c r="E172" s="460">
        <f t="shared" si="2"/>
        <v>0</v>
      </c>
    </row>
    <row r="173" spans="2:5" hidden="1" outlineLevel="2">
      <c r="B173" s="5" t="str">
        <f>+'S1&amp;2 Lists'!C101</f>
        <v>R-439A</v>
      </c>
      <c r="C173" s="460">
        <f>+VLOOKUP(B173,'S1&amp;2 Lists'!$C$7:$G$128,3,FALSE)</f>
        <v>2143</v>
      </c>
      <c r="D173" s="460">
        <f>ROUND(+SUMIF(Refrigerants!$G$10:$G$654,'Scope 1 and 2 Data'!B173,Refrigerants!$P$10:$P$654),3)</f>
        <v>0</v>
      </c>
      <c r="E173" s="460">
        <f t="shared" si="2"/>
        <v>0</v>
      </c>
    </row>
    <row r="174" spans="2:5" hidden="1" outlineLevel="2">
      <c r="B174" s="5" t="str">
        <f>+'S1&amp;2 Lists'!C102</f>
        <v>R-44</v>
      </c>
      <c r="C174" s="460">
        <f>+VLOOKUP(B174,'S1&amp;2 Lists'!$C$7:$G$128,3,FALSE)</f>
        <v>1</v>
      </c>
      <c r="D174" s="460">
        <f>ROUND(+SUMIF(Refrigerants!$G$10:$G$654,'Scope 1 and 2 Data'!B174,Refrigerants!$P$10:$P$654),3)</f>
        <v>0</v>
      </c>
      <c r="E174" s="460">
        <f t="shared" si="2"/>
        <v>0</v>
      </c>
    </row>
    <row r="175" spans="2:5" hidden="1" outlineLevel="2">
      <c r="B175" s="5" t="str">
        <f>+'S1&amp;2 Lists'!C103</f>
        <v>R-440A</v>
      </c>
      <c r="C175" s="460">
        <f>+VLOOKUP(B175,'S1&amp;2 Lists'!$C$7:$G$128,3,FALSE)</f>
        <v>24</v>
      </c>
      <c r="D175" s="460">
        <f>ROUND(+SUMIF(Refrigerants!$G$10:$G$654,'Scope 1 and 2 Data'!B175,Refrigerants!$P$10:$P$654),3)</f>
        <v>0</v>
      </c>
      <c r="E175" s="460">
        <f t="shared" si="2"/>
        <v>0</v>
      </c>
    </row>
    <row r="176" spans="2:5" hidden="1" outlineLevel="2">
      <c r="B176" s="5" t="str">
        <f>+'S1&amp;2 Lists'!C104</f>
        <v>R-442A</v>
      </c>
      <c r="C176" s="460">
        <f>+VLOOKUP(B176,'S1&amp;2 Lists'!$C$7:$G$128,3,FALSE)</f>
        <v>2042</v>
      </c>
      <c r="D176" s="460">
        <f>ROUND(+SUMIF(Refrigerants!$G$10:$G$654,'Scope 1 and 2 Data'!B176,Refrigerants!$P$10:$P$654),3)</f>
        <v>0</v>
      </c>
      <c r="E176" s="460">
        <f t="shared" ref="E176:E182" si="3">+C176*D176</f>
        <v>0</v>
      </c>
    </row>
    <row r="177" spans="2:5" hidden="1" outlineLevel="2">
      <c r="B177" s="5" t="str">
        <f>+'S1&amp;2 Lists'!C105</f>
        <v>R-444A</v>
      </c>
      <c r="C177" s="460">
        <f>+VLOOKUP(B177,'S1&amp;2 Lists'!$C$7:$G$128,3,FALSE)</f>
        <v>101</v>
      </c>
      <c r="D177" s="460">
        <f>ROUND(+SUMIF(Refrigerants!$G$10:$G$654,'Scope 1 and 2 Data'!B177,Refrigerants!$P$10:$P$654),3)</f>
        <v>0</v>
      </c>
      <c r="E177" s="460">
        <f t="shared" si="3"/>
        <v>0</v>
      </c>
    </row>
    <row r="178" spans="2:5" hidden="1" outlineLevel="2">
      <c r="B178" s="5" t="str">
        <f>+'S1&amp;2 Lists'!C106</f>
        <v>R-445A</v>
      </c>
      <c r="C178" s="460">
        <f>+VLOOKUP(B178,'S1&amp;2 Lists'!$C$7:$G$128,3,FALSE)</f>
        <v>138</v>
      </c>
      <c r="D178" s="460">
        <f>ROUND(+SUMIF(Refrigerants!$G$10:$G$654,'Scope 1 and 2 Data'!B178,Refrigerants!$P$10:$P$654),3)</f>
        <v>0</v>
      </c>
      <c r="E178" s="460">
        <f t="shared" si="3"/>
        <v>0</v>
      </c>
    </row>
    <row r="179" spans="2:5" hidden="1" outlineLevel="2">
      <c r="B179" s="5" t="str">
        <f>+'S1&amp;2 Lists'!C107</f>
        <v>R-448A</v>
      </c>
      <c r="C179" s="460">
        <f>+VLOOKUP(B179,'S1&amp;2 Lists'!$C$7:$G$128,3,FALSE)</f>
        <v>1494</v>
      </c>
      <c r="D179" s="460">
        <f>ROUND(+SUMIF(Refrigerants!$G$10:$G$654,'Scope 1 and 2 Data'!B179,Refrigerants!$P$10:$P$654),3)</f>
        <v>0</v>
      </c>
      <c r="E179" s="460">
        <f t="shared" si="3"/>
        <v>0</v>
      </c>
    </row>
    <row r="180" spans="2:5" hidden="1" outlineLevel="2">
      <c r="B180" s="5" t="str">
        <f>+'S1&amp;2 Lists'!C108</f>
        <v>R-449A</v>
      </c>
      <c r="C180" s="460">
        <f>+VLOOKUP(B180,'S1&amp;2 Lists'!$C$7:$G$128,3,FALSE)</f>
        <v>1504</v>
      </c>
      <c r="D180" s="460">
        <f>ROUND(+SUMIF(Refrigerants!$G$10:$G$654,'Scope 1 and 2 Data'!B180,Refrigerants!$P$10:$P$654),3)</f>
        <v>0</v>
      </c>
      <c r="E180" s="460">
        <f t="shared" si="3"/>
        <v>0</v>
      </c>
    </row>
    <row r="181" spans="2:5" hidden="1" outlineLevel="2">
      <c r="B181" s="5" t="str">
        <f>+'S1&amp;2 Lists'!C109</f>
        <v>R-450A</v>
      </c>
      <c r="C181" s="460">
        <f>+VLOOKUP(B181,'S1&amp;2 Lists'!$C$7:$G$128,3,FALSE)</f>
        <v>601</v>
      </c>
      <c r="D181" s="460">
        <f>ROUND(+SUMIF(Refrigerants!$G$10:$G$654,'Scope 1 and 2 Data'!B181,Refrigerants!$P$10:$P$654),3)</f>
        <v>0</v>
      </c>
      <c r="E181" s="460">
        <f t="shared" si="3"/>
        <v>0</v>
      </c>
    </row>
    <row r="182" spans="2:5" hidden="1" outlineLevel="2">
      <c r="B182" s="5" t="str">
        <f>+'S1&amp;2 Lists'!C110</f>
        <v>R-452A</v>
      </c>
      <c r="C182" s="460">
        <f>+VLOOKUP(B182,'S1&amp;2 Lists'!$C$7:$G$128,3,FALSE)</f>
        <v>2292</v>
      </c>
      <c r="D182" s="460">
        <f>ROUND(+SUMIF(Refrigerants!$G$10:$G$654,'Scope 1 and 2 Data'!B182,Refrigerants!$P$10:$P$654),3)</f>
        <v>0</v>
      </c>
      <c r="E182" s="460">
        <f t="shared" si="3"/>
        <v>0</v>
      </c>
    </row>
    <row r="183" spans="2:5" hidden="1" outlineLevel="2">
      <c r="B183" s="5" t="str">
        <f>+'S1&amp;2 Lists'!C111</f>
        <v>R-454A</v>
      </c>
      <c r="C183" s="460">
        <f>+VLOOKUP(B183,'S1&amp;2 Lists'!$C$7:$G$128,3,FALSE)</f>
        <v>237</v>
      </c>
      <c r="D183" s="460">
        <f>ROUND(+SUMIF(Refrigerants!$G$10:$G$654,'Scope 1 and 2 Data'!B183,Refrigerants!$P$10:$P$654),3)</f>
        <v>0</v>
      </c>
      <c r="E183" s="460">
        <f t="shared" ref="E183:E200" si="4">+C183*D183</f>
        <v>0</v>
      </c>
    </row>
    <row r="184" spans="2:5" hidden="1" outlineLevel="2">
      <c r="B184" s="5" t="str">
        <f>+'S1&amp;2 Lists'!C112</f>
        <v>R-454B</v>
      </c>
      <c r="C184" s="460">
        <f>+VLOOKUP(B184,'S1&amp;2 Lists'!$C$7:$G$128,3,FALSE)</f>
        <v>531</v>
      </c>
      <c r="D184" s="460">
        <f>ROUND(+SUMIF(Refrigerants!$G$10:$G$654,'Scope 1 and 2 Data'!B184,Refrigerants!$P$10:$P$654),3)</f>
        <v>0</v>
      </c>
      <c r="E184" s="460">
        <f t="shared" si="4"/>
        <v>0</v>
      </c>
    </row>
    <row r="185" spans="2:5" hidden="1" outlineLevel="2">
      <c r="B185" s="5" t="str">
        <f>+'S1&amp;2 Lists'!C113</f>
        <v>R-454C</v>
      </c>
      <c r="C185" s="460">
        <f>+VLOOKUP(B185,'S1&amp;2 Lists'!$C$7:$G$128,3,FALSE)</f>
        <v>166</v>
      </c>
      <c r="D185" s="460">
        <f>ROUND(+SUMIF(Refrigerants!$G$10:$G$654,'Scope 1 and 2 Data'!B185,Refrigerants!$P$10:$P$654),3)</f>
        <v>0</v>
      </c>
      <c r="E185" s="460">
        <f t="shared" si="4"/>
        <v>0</v>
      </c>
    </row>
    <row r="186" spans="2:5" hidden="1" outlineLevel="2">
      <c r="B186" s="5" t="str">
        <f>+'S1&amp;2 Lists'!C114</f>
        <v>R-455A</v>
      </c>
      <c r="C186" s="460">
        <f>+VLOOKUP(B186,'S1&amp;2 Lists'!$C$7:$G$128,3,FALSE)</f>
        <v>169</v>
      </c>
      <c r="D186" s="460">
        <f>ROUND(+SUMIF(Refrigerants!$G$10:$G$654,'Scope 1 and 2 Data'!B186,Refrigerants!$P$10:$P$654),3)</f>
        <v>0</v>
      </c>
      <c r="E186" s="460">
        <f t="shared" si="4"/>
        <v>0</v>
      </c>
    </row>
    <row r="187" spans="2:5" hidden="1" outlineLevel="2">
      <c r="B187" s="5" t="str">
        <f>+'S1&amp;2 Lists'!C115</f>
        <v>R-500</v>
      </c>
      <c r="C187" s="460">
        <f>+VLOOKUP(B187,'S1&amp;2 Lists'!$C$7:$G$128,3,FALSE)</f>
        <v>9000</v>
      </c>
      <c r="D187" s="460">
        <f>ROUND(+SUMIF(Refrigerants!$G$10:$G$654,'Scope 1 and 2 Data'!B187,Refrigerants!$P$10:$P$654),3)</f>
        <v>0</v>
      </c>
      <c r="E187" s="460">
        <f t="shared" si="4"/>
        <v>0</v>
      </c>
    </row>
    <row r="188" spans="2:5" hidden="1" outlineLevel="2">
      <c r="B188" s="5" t="str">
        <f>+'S1&amp;2 Lists'!C116</f>
        <v>R-503</v>
      </c>
      <c r="C188" s="460">
        <f>+VLOOKUP(B188,'S1&amp;2 Lists'!$C$7:$G$128,3,FALSE)</f>
        <v>14000</v>
      </c>
      <c r="D188" s="460">
        <f>ROUND(+SUMIF(Refrigerants!$G$10:$G$654,'Scope 1 and 2 Data'!B188,Refrigerants!$P$10:$P$654),3)</f>
        <v>0</v>
      </c>
      <c r="E188" s="460">
        <f t="shared" si="4"/>
        <v>0</v>
      </c>
    </row>
    <row r="189" spans="2:5" hidden="1" outlineLevel="2">
      <c r="B189" s="5" t="str">
        <f>+'S1&amp;2 Lists'!C117</f>
        <v>R-504</v>
      </c>
      <c r="C189" s="460">
        <f>+VLOOKUP(B189,'S1&amp;2 Lists'!$C$7:$G$128,3,FALSE)</f>
        <v>372</v>
      </c>
      <c r="D189" s="460">
        <f>ROUND(+SUMIF(Refrigerants!$G$10:$G$654,'Scope 1 and 2 Data'!B189,Refrigerants!$P$10:$P$654),3)</f>
        <v>0</v>
      </c>
      <c r="E189" s="460">
        <f t="shared" si="4"/>
        <v>0</v>
      </c>
    </row>
    <row r="190" spans="2:5" hidden="1" outlineLevel="2">
      <c r="B190" s="5" t="str">
        <f>+'S1&amp;2 Lists'!C118</f>
        <v>R-507 o R-507A</v>
      </c>
      <c r="C190" s="460">
        <f>+VLOOKUP(B190,'S1&amp;2 Lists'!$C$7:$G$128,3,FALSE)</f>
        <v>4775</v>
      </c>
      <c r="D190" s="460">
        <f>ROUND(+SUMIF(Refrigerants!$G$10:$G$654,'Scope 1 and 2 Data'!B190,Refrigerants!$P$10:$P$654),3)</f>
        <v>0</v>
      </c>
      <c r="E190" s="460">
        <f t="shared" si="4"/>
        <v>0</v>
      </c>
    </row>
    <row r="191" spans="2:5" hidden="1" outlineLevel="2">
      <c r="B191" s="5" t="str">
        <f>+'S1&amp;2 Lists'!C119</f>
        <v>R-509 o R-509A</v>
      </c>
      <c r="C191" s="460">
        <f>+VLOOKUP(B191,'S1&amp;2 Lists'!$C$7:$G$128,3,FALSE)</f>
        <v>5202</v>
      </c>
      <c r="D191" s="460">
        <f>ROUND(+SUMIF(Refrigerants!$G$10:$G$654,'Scope 1 and 2 Data'!B191,Refrigerants!$P$10:$P$654),3)</f>
        <v>0</v>
      </c>
      <c r="E191" s="460">
        <f t="shared" si="4"/>
        <v>0</v>
      </c>
    </row>
    <row r="192" spans="2:5" hidden="1" outlineLevel="2">
      <c r="B192" s="5" t="str">
        <f>+'S1&amp;2 Lists'!C120</f>
        <v>R-512A</v>
      </c>
      <c r="C192" s="460">
        <f>+VLOOKUP(B192,'S1&amp;2 Lists'!$C$7:$G$128,3,FALSE)</f>
        <v>232</v>
      </c>
      <c r="D192" s="460">
        <f>ROUND(+SUMIF(Refrigerants!$G$10:$G$654,'Scope 1 and 2 Data'!B192,Refrigerants!$P$10:$P$654),3)</f>
        <v>0</v>
      </c>
      <c r="E192" s="460">
        <f t="shared" si="4"/>
        <v>0</v>
      </c>
    </row>
    <row r="193" spans="2:5" hidden="1" outlineLevel="2">
      <c r="B193" s="5" t="str">
        <f>+'S1&amp;2 Lists'!C121</f>
        <v>R-513A</v>
      </c>
      <c r="C193" s="460">
        <f>+VLOOKUP(B193,'S1&amp;2 Lists'!$C$7:$G$128,3,FALSE)</f>
        <v>673</v>
      </c>
      <c r="D193" s="460">
        <f>ROUND(+SUMIF(Refrigerants!$G$10:$G$654,'Scope 1 and 2 Data'!B193,Refrigerants!$P$10:$P$654),3)</f>
        <v>0</v>
      </c>
      <c r="E193" s="460">
        <f t="shared" si="4"/>
        <v>0</v>
      </c>
    </row>
    <row r="194" spans="2:5" hidden="1" outlineLevel="2">
      <c r="B194" s="5" t="str">
        <f>+'S1&amp;2 Lists'!C122</f>
        <v>R-515B</v>
      </c>
      <c r="C194" s="460">
        <f>+VLOOKUP(B194,'S1&amp;2 Lists'!$C$7:$G$128,3,FALSE)</f>
        <v>316</v>
      </c>
      <c r="D194" s="460">
        <f>ROUND(+SUMIF(Refrigerants!$G$10:$G$654,'Scope 1 and 2 Data'!B194,Refrigerants!$P$10:$P$654),3)</f>
        <v>0</v>
      </c>
      <c r="E194" s="460">
        <f t="shared" si="4"/>
        <v>0</v>
      </c>
    </row>
    <row r="195" spans="2:5" hidden="1" outlineLevel="2">
      <c r="B195" s="5" t="str">
        <f>+'S1&amp;2 Lists'!C123</f>
        <v>R-600</v>
      </c>
      <c r="C195" s="460">
        <f>+VLOOKUP(B195,'S1&amp;2 Lists'!$C$7:$G$128,3,FALSE)</f>
        <v>0.01</v>
      </c>
      <c r="D195" s="460">
        <f>ROUND(+SUMIF(Refrigerants!$G$10:$G$654,'Scope 1 and 2 Data'!B195,Refrigerants!$P$10:$P$654),3)</f>
        <v>0</v>
      </c>
      <c r="E195" s="460">
        <f t="shared" si="4"/>
        <v>0</v>
      </c>
    </row>
    <row r="196" spans="2:5" hidden="1" outlineLevel="2">
      <c r="B196" s="5" t="str">
        <f>+'S1&amp;2 Lists'!C124</f>
        <v>R-600a</v>
      </c>
      <c r="C196" s="460">
        <f>+VLOOKUP(B196,'S1&amp;2 Lists'!$C$7:$G$128,3,FALSE)</f>
        <v>0.01</v>
      </c>
      <c r="D196" s="460">
        <f>ROUND(+SUMIF(Refrigerants!$G$10:$G$654,'Scope 1 and 2 Data'!B196,Refrigerants!$P$10:$P$654),3)</f>
        <v>0</v>
      </c>
      <c r="E196" s="460">
        <f t="shared" si="4"/>
        <v>0</v>
      </c>
    </row>
    <row r="197" spans="2:5" hidden="1" outlineLevel="2">
      <c r="B197" s="5" t="str">
        <f>+'S1&amp;2 Lists'!C125</f>
        <v>R-717</v>
      </c>
      <c r="C197" s="460">
        <f>+VLOOKUP(B197,'S1&amp;2 Lists'!$C$7:$G$128,3,FALSE)</f>
        <v>0</v>
      </c>
      <c r="D197" s="460">
        <f>ROUND(+SUMIF(Refrigerants!$G$10:$G$654,'Scope 1 and 2 Data'!B197,Refrigerants!$P$10:$P$654),3)</f>
        <v>0</v>
      </c>
      <c r="E197" s="460">
        <f t="shared" si="4"/>
        <v>0</v>
      </c>
    </row>
    <row r="198" spans="2:5" hidden="1" outlineLevel="2">
      <c r="B198" s="5" t="str">
        <f>+'S1&amp;2 Lists'!C126</f>
        <v>R-718</v>
      </c>
      <c r="C198" s="460">
        <f>+VLOOKUP(B198,'S1&amp;2 Lists'!$C$7:$G$128,3,FALSE)</f>
        <v>0</v>
      </c>
      <c r="D198" s="460">
        <f>ROUND(+SUMIF(Refrigerants!$G$10:$G$654,'Scope 1 and 2 Data'!B198,Refrigerants!$P$10:$P$654),3)</f>
        <v>0</v>
      </c>
      <c r="E198" s="460">
        <f t="shared" si="4"/>
        <v>0</v>
      </c>
    </row>
    <row r="199" spans="2:5" hidden="1" outlineLevel="2">
      <c r="B199" s="5" t="str">
        <f>+'S1&amp;2 Lists'!C127</f>
        <v>Sulfur Hexafluoride (SF6​)</v>
      </c>
      <c r="C199" s="460">
        <f>+VLOOKUP(B199,'S1&amp;2 Lists'!$C$7:$G$128,3,FALSE)</f>
        <v>24300</v>
      </c>
      <c r="D199" s="460">
        <f>ROUND(+SUMIF(Refrigerants!$G$10:$G$654,'Scope 1 and 2 Data'!B199,Refrigerants!$P$10:$P$654),3)</f>
        <v>0</v>
      </c>
      <c r="E199" s="460">
        <f t="shared" si="4"/>
        <v>0</v>
      </c>
    </row>
    <row r="200" spans="2:5" hidden="1" outlineLevel="2">
      <c r="B200" s="5" t="str">
        <f>+'S1&amp;2 Lists'!C128</f>
        <v>Trifluoromethyl Sulfur pentafluoride (SF5CF3)</v>
      </c>
      <c r="C200" s="460">
        <f>+VLOOKUP(B200,'S1&amp;2 Lists'!$C$7:$G$128,3,FALSE)</f>
        <v>18500</v>
      </c>
      <c r="D200" s="460">
        <f>ROUND(+SUMIF(Refrigerants!$G$10:$G$654,'Scope 1 and 2 Data'!B200,Refrigerants!$P$10:$P$654),3)</f>
        <v>0</v>
      </c>
      <c r="E200" s="460">
        <f t="shared" si="4"/>
        <v>0</v>
      </c>
    </row>
    <row r="201" spans="2:5" outlineLevel="1">
      <c r="C201" s="461"/>
      <c r="D201" s="461"/>
      <c r="E201" s="461"/>
    </row>
    <row r="202" spans="2:5" ht="18.75" outlineLevel="1">
      <c r="B202" s="423" t="s">
        <v>1864</v>
      </c>
      <c r="C202" s="443" t="s">
        <v>1863</v>
      </c>
      <c r="D202" s="443" t="s">
        <v>1865</v>
      </c>
    </row>
    <row r="203" spans="2:5" ht="15" outlineLevel="1">
      <c r="B203" s="447" t="s">
        <v>8</v>
      </c>
      <c r="C203" s="459">
        <f>+SUM(C204:C213)</f>
        <v>0</v>
      </c>
      <c r="D203" s="462">
        <f>+IFERROR(SUM(D204:D213),"-")</f>
        <v>0</v>
      </c>
    </row>
    <row r="204" spans="2:5" outlineLevel="1">
      <c r="B204" s="463" t="str">
        <f>+'S1&amp;2 Lists'!AU3</f>
        <v>Centralized equipment</v>
      </c>
      <c r="C204" s="460">
        <f>+SUMIF(Refrigerants!$B$10:$B$654,'Scope 1 and 2 Data'!B204,Refrigerants!$N$10:$N$654)</f>
        <v>0</v>
      </c>
      <c r="D204" s="464" t="str">
        <f>+IFERROR(C204/$C$203,"-")</f>
        <v>-</v>
      </c>
    </row>
    <row r="205" spans="2:5" outlineLevel="1">
      <c r="B205" s="463" t="str">
        <f>+'S1&amp;2 Lists'!AU4</f>
        <v>Extinguisher</v>
      </c>
      <c r="C205" s="460">
        <f>+SUMIF(Refrigerants!$B$10:$B$654,'Scope 1 and 2 Data'!B205,Refrigerants!$N$10:$N$654)</f>
        <v>0</v>
      </c>
      <c r="D205" s="464" t="str">
        <f t="shared" ref="D205:D213" si="5">+IFERROR(C205/$C$203,"-")</f>
        <v>-</v>
      </c>
    </row>
    <row r="206" spans="2:5" outlineLevel="1">
      <c r="B206" s="463" t="str">
        <f>+'S1&amp;2 Lists'!AU5</f>
        <v>Freezer</v>
      </c>
      <c r="C206" s="460">
        <f>+SUMIF(Refrigerants!$B$10:$B$654,'Scope 1 and 2 Data'!B206,Refrigerants!$N$10:$N$654)</f>
        <v>0</v>
      </c>
      <c r="D206" s="464" t="str">
        <f t="shared" si="5"/>
        <v>-</v>
      </c>
    </row>
    <row r="207" spans="2:5" outlineLevel="1">
      <c r="B207" s="463" t="str">
        <f>+'S1&amp;2 Lists'!AU6</f>
        <v>Freezer / Vaccines</v>
      </c>
      <c r="C207" s="460">
        <f>+SUMIF(Refrigerants!$B$10:$B$654,'Scope 1 and 2 Data'!B207,Refrigerants!$N$10:$N$654)</f>
        <v>0</v>
      </c>
      <c r="D207" s="464" t="str">
        <f t="shared" si="5"/>
        <v>-</v>
      </c>
    </row>
    <row r="208" spans="2:5" outlineLevel="1">
      <c r="B208" s="463" t="s">
        <v>4399</v>
      </c>
      <c r="C208" s="460">
        <f>+SUMIF(Refrigerants!$B$10:$B$654,'Scope 1 and 2 Data'!B208,Refrigerants!$N$10:$N$654)</f>
        <v>0</v>
      </c>
      <c r="D208" s="464" t="str">
        <f t="shared" si="5"/>
        <v>-</v>
      </c>
    </row>
    <row r="209" spans="1:7" outlineLevel="1">
      <c r="B209" s="463" t="str">
        <f>+'S1&amp;2 Lists'!AU8</f>
        <v>Mini split</v>
      </c>
      <c r="C209" s="460">
        <f>+SUMIF(Refrigerants!$B$10:$B$654,'Scope 1 and 2 Data'!B209,Refrigerants!$N$10:$N$654)</f>
        <v>0</v>
      </c>
      <c r="D209" s="464" t="str">
        <f t="shared" si="5"/>
        <v>-</v>
      </c>
    </row>
    <row r="210" spans="1:7" outlineLevel="1">
      <c r="B210" s="463" t="str">
        <f>+'S1&amp;2 Lists'!AU9</f>
        <v>Multi Split</v>
      </c>
      <c r="C210" s="460">
        <f>+SUMIF(Refrigerants!$B$10:$B$654,'Scope 1 and 2 Data'!B210,Refrigerants!$N$10:$N$654)</f>
        <v>0</v>
      </c>
      <c r="D210" s="464" t="str">
        <f t="shared" si="5"/>
        <v>-</v>
      </c>
    </row>
    <row r="211" spans="1:7" outlineLevel="1">
      <c r="B211" s="463" t="str">
        <f>+'S1&amp;2 Lists'!AU10</f>
        <v>Refrigerator</v>
      </c>
      <c r="C211" s="460">
        <f>+SUMIF(Refrigerants!$B$10:$B$654,'Scope 1 and 2 Data'!B211,Refrigerants!$N$10:$N$654)</f>
        <v>0</v>
      </c>
      <c r="D211" s="464" t="str">
        <f t="shared" si="5"/>
        <v>-</v>
      </c>
    </row>
    <row r="212" spans="1:7" outlineLevel="1">
      <c r="B212" s="463" t="str">
        <f>+'S1&amp;2 Lists'!AU11</f>
        <v>Refrigerator / Vaccines</v>
      </c>
      <c r="C212" s="460">
        <f>+SUMIF(Refrigerants!$B$10:$B$654,'Scope 1 and 2 Data'!B212,Refrigerants!$N$10:$N$654)</f>
        <v>0</v>
      </c>
      <c r="D212" s="464" t="str">
        <f t="shared" si="5"/>
        <v>-</v>
      </c>
    </row>
    <row r="213" spans="1:7" outlineLevel="1">
      <c r="B213" s="463" t="str">
        <f>+'S1&amp;2 Lists'!AU12</f>
        <v>Vending machine</v>
      </c>
      <c r="C213" s="460">
        <f>+SUMIF(Refrigerants!$B$10:$B$654,'Scope 1 and 2 Data'!B213,Refrigerants!$N$10:$N$654)</f>
        <v>0</v>
      </c>
      <c r="D213" s="464" t="str">
        <f t="shared" si="5"/>
        <v>-</v>
      </c>
    </row>
    <row r="214" spans="1:7" outlineLevel="1">
      <c r="C214" s="461"/>
      <c r="D214" s="461"/>
      <c r="E214" s="461"/>
    </row>
    <row r="215" spans="1:7" s="415" customFormat="1" ht="17.25" customHeight="1">
      <c r="A215" s="453" t="s">
        <v>1866</v>
      </c>
      <c r="B215" s="465" t="s">
        <v>1867</v>
      </c>
    </row>
    <row r="216" spans="1:7" ht="18" outlineLevel="1">
      <c r="A216" s="454"/>
    </row>
    <row r="217" spans="1:7" ht="14.45" customHeight="1" outlineLevel="1">
      <c r="A217" s="1446" t="s">
        <v>1868</v>
      </c>
      <c r="B217" s="1446"/>
      <c r="C217" s="1446"/>
      <c r="D217" s="1446"/>
      <c r="E217" s="1446"/>
      <c r="F217" s="1446"/>
      <c r="G217" s="1446"/>
    </row>
    <row r="218" spans="1:7" ht="15" customHeight="1" outlineLevel="1">
      <c r="B218" s="436"/>
      <c r="C218" s="436"/>
      <c r="D218" s="436"/>
      <c r="E218" s="436"/>
      <c r="F218" s="436"/>
      <c r="G218" s="436"/>
    </row>
    <row r="219" spans="1:7" ht="15" customHeight="1" outlineLevel="1">
      <c r="A219" s="1469" t="s">
        <v>1826</v>
      </c>
      <c r="B219" s="1470"/>
      <c r="C219" s="1474"/>
      <c r="D219" s="1474"/>
      <c r="E219" s="416"/>
      <c r="F219" s="416"/>
    </row>
    <row r="220" spans="1:7" ht="18" outlineLevel="1">
      <c r="A220" s="454"/>
      <c r="B220" s="15"/>
      <c r="C220" s="15"/>
      <c r="D220" s="15"/>
      <c r="E220" s="15"/>
      <c r="F220" s="15"/>
    </row>
    <row r="221" spans="1:7" ht="15" outlineLevel="1" thickBot="1">
      <c r="A221" s="437" t="s">
        <v>1844</v>
      </c>
      <c r="C221" s="15"/>
      <c r="D221" s="15"/>
      <c r="E221" s="15"/>
      <c r="F221" s="15"/>
    </row>
    <row r="222" spans="1:7" ht="50.25" customHeight="1" outlineLevel="1" thickTop="1" thickBot="1">
      <c r="A222" s="1446" t="s">
        <v>1869</v>
      </c>
      <c r="B222" s="1446"/>
      <c r="C222" s="1446"/>
      <c r="D222" s="1446"/>
      <c r="F222" s="466" t="s">
        <v>1870</v>
      </c>
      <c r="G222" s="467"/>
    </row>
    <row r="223" spans="1:7" ht="15" outlineLevel="1" thickTop="1"/>
    <row r="224" spans="1:7" ht="15" customHeight="1" outlineLevel="1">
      <c r="B224" s="468"/>
      <c r="C224" s="1475" t="s">
        <v>1861</v>
      </c>
      <c r="D224" s="1475" t="s">
        <v>1871</v>
      </c>
      <c r="E224" s="1475" t="s">
        <v>1865</v>
      </c>
    </row>
    <row r="225" spans="1:7" ht="9.9499999999999993" customHeight="1" outlineLevel="1">
      <c r="B225" s="469" t="s">
        <v>1860</v>
      </c>
      <c r="C225" s="1476"/>
      <c r="D225" s="1476"/>
      <c r="E225" s="1476"/>
    </row>
    <row r="226" spans="1:7" outlineLevel="1">
      <c r="B226" s="470"/>
      <c r="C226" s="1477"/>
      <c r="D226" s="1477"/>
      <c r="E226" s="1477"/>
      <c r="G226" s="769"/>
    </row>
    <row r="227" spans="1:7" ht="15" outlineLevel="1">
      <c r="B227" s="447" t="s">
        <v>8</v>
      </c>
      <c r="C227" s="458"/>
      <c r="D227" s="426">
        <f>+ROUND(SUM(D228:D233),3)</f>
        <v>0</v>
      </c>
      <c r="E227" s="462">
        <f>+IFERROR(SUM(E228:E233),"-")</f>
        <v>0</v>
      </c>
    </row>
    <row r="228" spans="1:7" outlineLevel="1">
      <c r="B228" s="471" t="str">
        <f>+'S1&amp;2 Lists'!C3</f>
        <v>N2O</v>
      </c>
      <c r="C228" s="460">
        <f>IF(B228="","",VLOOKUP(B228,'S1&amp;2 Lists'!$C$3:$G$113,3,FALSE))</f>
        <v>273</v>
      </c>
      <c r="D228" s="472">
        <f>ROUND('Anesthetic Gases'!$M$31,3)</f>
        <v>0</v>
      </c>
      <c r="E228" s="464" t="str">
        <f t="shared" ref="E228:E233" si="6">+IFERROR(D228/$D$227,"-")</f>
        <v>-</v>
      </c>
    </row>
    <row r="229" spans="1:7" outlineLevel="1">
      <c r="B229" s="471" t="str">
        <f>+'S1&amp;2 Lists'!C4</f>
        <v>Isoflurane</v>
      </c>
      <c r="C229" s="460">
        <f>IF(B229="","",VLOOKUP(B229,'S1&amp;2 Lists'!$C$3:$G$113,3,FALSE))</f>
        <v>539</v>
      </c>
      <c r="D229" s="472">
        <f>ROUND('Anesthetic Gases'!$M$14,3)</f>
        <v>0</v>
      </c>
      <c r="E229" s="464" t="str">
        <f t="shared" si="6"/>
        <v>-</v>
      </c>
      <c r="F229" s="769"/>
      <c r="G229" s="769"/>
    </row>
    <row r="230" spans="1:7" outlineLevel="1">
      <c r="B230" s="471" t="str">
        <f>+'S1&amp;2 Lists'!C5</f>
        <v>Sevoflurane</v>
      </c>
      <c r="C230" s="460">
        <f>IF(B230="","",VLOOKUP(B230,'S1&amp;2 Lists'!$C$3:$G$113,3,FALSE))</f>
        <v>195</v>
      </c>
      <c r="D230" s="472">
        <f>+ROUND('Anesthetic Gases'!$M$20,3)</f>
        <v>0</v>
      </c>
      <c r="E230" s="464" t="str">
        <f t="shared" si="6"/>
        <v>-</v>
      </c>
      <c r="G230" s="769"/>
    </row>
    <row r="231" spans="1:7" outlineLevel="1">
      <c r="B231" s="471" t="str">
        <f>+'S1&amp;2 Lists'!C6</f>
        <v>Desflurane</v>
      </c>
      <c r="C231" s="460">
        <f>IF(B231="","",VLOOKUP(B231,'S1&amp;2 Lists'!$C$3:$G$113,3,FALSE))</f>
        <v>2590</v>
      </c>
      <c r="D231" s="472">
        <f>ROUND('Anesthetic Gases'!M27,3)</f>
        <v>0</v>
      </c>
      <c r="E231" s="464" t="str">
        <f t="shared" si="6"/>
        <v>-</v>
      </c>
      <c r="G231" s="769"/>
    </row>
    <row r="232" spans="1:7" outlineLevel="1">
      <c r="B232" s="471" t="str">
        <f>+'S1&amp;2 Lists'!C7</f>
        <v>Carbon Dioxide (CO2​)</v>
      </c>
      <c r="C232" s="460">
        <f>IF(B232="","",VLOOKUP(B232,'S1&amp;2 Lists'!$C$3:$G$113,3,FALSE))</f>
        <v>1</v>
      </c>
      <c r="D232" s="472">
        <f>ROUND('Anesthetic Gases'!M38,3)</f>
        <v>0</v>
      </c>
      <c r="E232" s="464" t="str">
        <f t="shared" si="6"/>
        <v>-</v>
      </c>
      <c r="F232" s="769"/>
      <c r="G232" s="769"/>
    </row>
    <row r="233" spans="1:7" outlineLevel="1">
      <c r="B233" s="463" t="s">
        <v>1872</v>
      </c>
      <c r="C233" s="460" t="s">
        <v>4402</v>
      </c>
      <c r="D233" s="472">
        <f>ROUND('Anesthetic Gases'!M35,3)</f>
        <v>0</v>
      </c>
      <c r="E233" s="464" t="str">
        <f t="shared" si="6"/>
        <v>-</v>
      </c>
      <c r="G233" s="769"/>
    </row>
    <row r="235" spans="1:7" s="475" customFormat="1" ht="20.25">
      <c r="A235" s="473" t="s">
        <v>7</v>
      </c>
      <c r="B235" s="474"/>
    </row>
    <row r="236" spans="1:7" ht="38.25" customHeight="1">
      <c r="A236" s="1478" t="s">
        <v>1873</v>
      </c>
      <c r="B236" s="1478"/>
      <c r="C236" s="1478"/>
      <c r="D236" s="1478"/>
      <c r="E236" s="1478"/>
      <c r="F236" s="1478"/>
      <c r="G236" s="1478"/>
    </row>
    <row r="237" spans="1:7" ht="17.25" customHeight="1">
      <c r="A237" s="411"/>
      <c r="B237" s="412"/>
      <c r="C237" s="412"/>
      <c r="D237" s="412"/>
      <c r="E237" s="412"/>
      <c r="F237" s="412"/>
    </row>
    <row r="238" spans="1:7" s="478" customFormat="1" ht="18">
      <c r="A238" s="476" t="s">
        <v>1874</v>
      </c>
      <c r="B238" s="477" t="s">
        <v>1875</v>
      </c>
    </row>
    <row r="239" spans="1:7" outlineLevel="1"/>
    <row r="240" spans="1:7" ht="60.75" customHeight="1" outlineLevel="1">
      <c r="A240" s="1458" t="s">
        <v>1876</v>
      </c>
      <c r="B240" s="1458"/>
      <c r="C240" s="1458"/>
      <c r="D240" s="1458"/>
      <c r="E240" s="15"/>
      <c r="F240" s="15"/>
      <c r="G240" s="15"/>
    </row>
    <row r="241" spans="1:14" ht="15" customHeight="1" outlineLevel="1">
      <c r="B241" s="436"/>
      <c r="C241" s="436"/>
      <c r="D241" s="436"/>
      <c r="E241" s="436"/>
      <c r="F241" s="436"/>
      <c r="G241" s="436"/>
    </row>
    <row r="242" spans="1:14" ht="15" customHeight="1" outlineLevel="1">
      <c r="A242" s="1469" t="s">
        <v>1826</v>
      </c>
      <c r="B242" s="1470"/>
      <c r="C242" s="1474"/>
      <c r="D242" s="1474"/>
      <c r="E242" s="416"/>
      <c r="F242" s="416"/>
    </row>
    <row r="243" spans="1:14" ht="18" outlineLevel="1">
      <c r="A243" s="454"/>
      <c r="B243" s="15"/>
      <c r="C243" s="15"/>
      <c r="D243" s="15"/>
      <c r="E243" s="15"/>
      <c r="F243" s="15"/>
    </row>
    <row r="244" spans="1:14" outlineLevel="1">
      <c r="A244" s="437" t="s">
        <v>1844</v>
      </c>
      <c r="C244" s="15"/>
      <c r="D244" s="15"/>
      <c r="E244" s="15"/>
      <c r="F244" s="15"/>
    </row>
    <row r="245" spans="1:14" ht="30" customHeight="1" outlineLevel="1">
      <c r="A245" s="1463" t="s">
        <v>3292</v>
      </c>
      <c r="B245" s="1463"/>
      <c r="C245" s="1463"/>
      <c r="D245" s="1463"/>
      <c r="E245" s="419"/>
      <c r="F245" s="419"/>
      <c r="G245" s="419"/>
    </row>
    <row r="246" spans="1:14" hidden="1" outlineLevel="1"/>
    <row r="247" spans="1:14" ht="57" outlineLevel="1">
      <c r="B247" s="479" t="s">
        <v>1875</v>
      </c>
      <c r="C247" s="480" t="s">
        <v>3298</v>
      </c>
      <c r="D247" s="480" t="s">
        <v>3297</v>
      </c>
      <c r="E247" s="480" t="s">
        <v>3296</v>
      </c>
      <c r="F247" s="480" t="s">
        <v>1878</v>
      </c>
      <c r="G247" s="730"/>
      <c r="H247" s="480" t="s">
        <v>3298</v>
      </c>
      <c r="I247" s="480" t="s">
        <v>0</v>
      </c>
    </row>
    <row r="248" spans="1:14" ht="24" outlineLevel="1">
      <c r="B248" s="11" t="s">
        <v>3283</v>
      </c>
      <c r="C248" s="1392"/>
      <c r="D248" s="777"/>
      <c r="E248" s="10" t="s">
        <v>1737</v>
      </c>
      <c r="F248" s="1419" t="str">
        <f>IFERROR(ROUND(H248*VLOOKUP(Instructions!$C$5,'S1&amp;2 Lists'!$AW$3:$AZ$241,4,FALSE)/1000,3),"Choose Grid on Instructions Page")</f>
        <v>Choose Grid on Instructions Page</v>
      </c>
      <c r="G248" s="778"/>
      <c r="H248" s="779">
        <f>IF(D248=I248,C248,IF(D248="kBtu",C248*0.000293071,IF(D248="Mmbtu",C248*293.07107,IF(D248="MWh",C248*1000,0))))</f>
        <v>0</v>
      </c>
      <c r="I248" s="779" t="s">
        <v>1719</v>
      </c>
      <c r="N248" s="730"/>
    </row>
    <row r="249" spans="1:14" outlineLevel="1">
      <c r="B249" s="11" t="s">
        <v>3284</v>
      </c>
      <c r="C249" s="1392"/>
      <c r="D249" s="777"/>
      <c r="E249" s="777"/>
      <c r="F249" s="1397">
        <f>C249*E249</f>
        <v>0</v>
      </c>
      <c r="G249" s="778"/>
      <c r="H249" s="779">
        <f>IF(D249=I249,C249,IF(D249="kBtu",C249*0.000293071,IF(D249="Mmbtu",C249*293.07107,IF(D249="MWh",C249*1000, 0))))</f>
        <v>0</v>
      </c>
      <c r="I249" s="779" t="s">
        <v>1719</v>
      </c>
    </row>
    <row r="250" spans="1:14" outlineLevel="1">
      <c r="B250" s="416"/>
      <c r="C250" s="416"/>
      <c r="D250" s="416"/>
      <c r="E250" s="416"/>
      <c r="F250" s="416"/>
    </row>
    <row r="251" spans="1:14" s="478" customFormat="1" ht="18">
      <c r="A251" s="476" t="s">
        <v>1879</v>
      </c>
      <c r="B251" s="477" t="s">
        <v>1880</v>
      </c>
    </row>
    <row r="252" spans="1:14" outlineLevel="1">
      <c r="B252" s="437"/>
      <c r="C252" s="15"/>
      <c r="D252" s="15"/>
      <c r="E252" s="15"/>
    </row>
    <row r="253" spans="1:14" ht="15" customHeight="1" outlineLevel="1">
      <c r="A253" s="1458" t="s">
        <v>1881</v>
      </c>
      <c r="B253" s="1458"/>
      <c r="C253" s="1458"/>
      <c r="D253" s="1458"/>
      <c r="E253" s="15"/>
      <c r="F253" s="15"/>
      <c r="G253" s="15"/>
    </row>
    <row r="254" spans="1:14" ht="15" customHeight="1" outlineLevel="1">
      <c r="A254" s="15"/>
      <c r="B254" s="15"/>
      <c r="C254" s="15"/>
      <c r="D254" s="15"/>
      <c r="E254" s="15"/>
      <c r="F254" s="15"/>
      <c r="G254" s="15"/>
    </row>
    <row r="255" spans="1:14" ht="15" customHeight="1" outlineLevel="1">
      <c r="A255" s="1469" t="s">
        <v>1826</v>
      </c>
      <c r="B255" s="1470"/>
      <c r="C255" s="1474"/>
      <c r="D255" s="1474"/>
      <c r="E255" s="416"/>
      <c r="F255" s="416"/>
    </row>
    <row r="256" spans="1:14" outlineLevel="1"/>
    <row r="257" spans="1:14" outlineLevel="1">
      <c r="A257" s="437" t="s">
        <v>1844</v>
      </c>
      <c r="C257" s="15"/>
      <c r="D257" s="15"/>
      <c r="E257" s="15"/>
      <c r="F257" s="15"/>
    </row>
    <row r="258" spans="1:14" outlineLevel="1">
      <c r="A258" s="1463" t="s">
        <v>1882</v>
      </c>
      <c r="B258" s="1463"/>
      <c r="C258" s="1463"/>
      <c r="D258" s="1463"/>
      <c r="E258" s="419"/>
      <c r="F258" s="419"/>
      <c r="G258" s="419"/>
    </row>
    <row r="259" spans="1:14" ht="12" customHeight="1" outlineLevel="1">
      <c r="A259" s="482"/>
      <c r="B259" s="419"/>
      <c r="C259" s="419"/>
      <c r="D259" s="419"/>
      <c r="E259" s="419"/>
      <c r="F259" s="419"/>
      <c r="G259" s="419"/>
    </row>
    <row r="260" spans="1:14" outlineLevel="1">
      <c r="A260" s="482"/>
      <c r="B260" s="483" t="s">
        <v>1883</v>
      </c>
      <c r="C260" s="419"/>
      <c r="D260" s="419"/>
      <c r="E260" s="419"/>
      <c r="F260" s="419"/>
      <c r="G260" s="419"/>
    </row>
    <row r="261" spans="1:14" ht="28.5" outlineLevel="1">
      <c r="A261" s="482"/>
      <c r="B261" s="419" t="s">
        <v>1884</v>
      </c>
      <c r="C261" s="419"/>
      <c r="D261" s="419"/>
      <c r="E261" s="419"/>
      <c r="F261" s="419"/>
      <c r="G261" s="419"/>
    </row>
    <row r="262" spans="1:14" ht="28.5" outlineLevel="1">
      <c r="A262" s="482"/>
      <c r="B262" s="479" t="s">
        <v>1885</v>
      </c>
      <c r="C262" s="479" t="s">
        <v>1877</v>
      </c>
      <c r="D262" s="479" t="s">
        <v>0</v>
      </c>
      <c r="E262" s="480" t="s">
        <v>1878</v>
      </c>
      <c r="F262" s="419"/>
      <c r="G262" s="479" t="s">
        <v>1832</v>
      </c>
      <c r="H262" s="479" t="s">
        <v>0</v>
      </c>
    </row>
    <row r="263" spans="1:14" ht="15" outlineLevel="1">
      <c r="A263" s="482"/>
      <c r="B263" s="484" t="s">
        <v>8</v>
      </c>
      <c r="C263" s="485"/>
      <c r="D263" s="486"/>
      <c r="E263" s="487">
        <f>+IFERROR(SUM(E264:E268),"")</f>
        <v>0</v>
      </c>
      <c r="F263" s="419"/>
      <c r="G263" s="448"/>
      <c r="H263" s="448"/>
    </row>
    <row r="264" spans="1:14" ht="15" customHeight="1" outlineLevel="1">
      <c r="A264" s="488"/>
      <c r="B264" s="489" t="s">
        <v>1886</v>
      </c>
      <c r="C264" s="481"/>
      <c r="D264" s="490"/>
      <c r="E264" s="1399" t="str">
        <f>IFERROR($G264*VLOOKUP(Instructions!$C$5,'S1&amp;2 Lists'!$AW$3:$BV$280,22,TRUE),"")</f>
        <v/>
      </c>
      <c r="F264" s="491"/>
      <c r="G264" s="431">
        <f>IF($D264="1000 pounds",$C264*1194,
IF($D264="kbtu",$C264,
IF($D264="therms",$C264*100,
IF($D264="ton-hour",$C264*12,0))))</f>
        <v>0</v>
      </c>
      <c r="H264" s="451" t="s">
        <v>1887</v>
      </c>
      <c r="J264" s="730"/>
      <c r="L264" s="730"/>
    </row>
    <row r="265" spans="1:14" ht="15" customHeight="1" outlineLevel="1">
      <c r="A265" s="488"/>
      <c r="B265" s="489" t="s">
        <v>1888</v>
      </c>
      <c r="C265" s="481"/>
      <c r="D265" s="490"/>
      <c r="E265" s="1399" t="str">
        <f>IFERROR($G265*VLOOKUP(Instructions!$C$5,'S1&amp;2 Lists'!$AW$3:$BV$280,22,TRUE),"")</f>
        <v/>
      </c>
      <c r="F265" s="491"/>
      <c r="G265" s="431">
        <f>IF($D265="1000 pounds",$C265*1000,
IF($D265="kbtu",$C265,
IF($D265="therms",$C265*100,
IF($D265="ton-hour",$C265*12,0))))</f>
        <v>0</v>
      </c>
      <c r="H265" s="451" t="s">
        <v>1887</v>
      </c>
      <c r="J265" s="730"/>
      <c r="L265" s="730"/>
    </row>
    <row r="266" spans="1:14" ht="15" customHeight="1" outlineLevel="1">
      <c r="A266" s="492"/>
      <c r="B266" s="489" t="s">
        <v>1889</v>
      </c>
      <c r="C266" s="481"/>
      <c r="D266" s="490"/>
      <c r="E266" s="1399" t="str">
        <f>IFERROR($G266*VLOOKUP(Instructions!$C$5,'S1&amp;2 Lists'!$AW$3:$BV$280,22,TRUE),"")</f>
        <v/>
      </c>
      <c r="F266" s="491"/>
      <c r="G266" s="431">
        <f>IF($D266="1000 pounds",$C266*1000,
IF($D266="kbtu",$C266,
IF($D266="therms",$C266*100,
IF($D266="ton-hour",$C266*12,0))))</f>
        <v>0</v>
      </c>
      <c r="H266" s="451" t="s">
        <v>1887</v>
      </c>
      <c r="J266" s="730"/>
      <c r="L266" s="730"/>
    </row>
    <row r="267" spans="1:14" ht="15" customHeight="1" outlineLevel="1">
      <c r="A267" s="492"/>
      <c r="B267" s="489" t="s">
        <v>1890</v>
      </c>
      <c r="C267" s="481"/>
      <c r="D267" s="490"/>
      <c r="E267" s="1399" t="str">
        <f>IFERROR($G267*VLOOKUP(Instructions!$C$5,'S1&amp;2 Lists'!$AW$3:$BV$280,22,TRUE),"")</f>
        <v/>
      </c>
      <c r="F267" s="491"/>
      <c r="G267" s="431">
        <f>IF($D267="1000 pounds",$C267*1000,
IF($D267="kbtu",$C267,
IF($D267="therms",$C267*100,
IF($D267="ton-hour",$C267*12,0))))</f>
        <v>0</v>
      </c>
      <c r="H267" s="451" t="s">
        <v>1887</v>
      </c>
      <c r="J267" s="730"/>
      <c r="L267" s="730"/>
    </row>
    <row r="268" spans="1:14" ht="15" customHeight="1" outlineLevel="1">
      <c r="A268" s="492"/>
      <c r="B268" s="489" t="s">
        <v>1891</v>
      </c>
      <c r="C268" s="481"/>
      <c r="D268" s="490"/>
      <c r="E268" s="1399" t="str">
        <f>IFERROR($G268*VLOOKUP(Instructions!$C$5,'S1&amp;2 Lists'!$AW$3:$BV$280,22,TRUE),"")</f>
        <v/>
      </c>
      <c r="F268" s="491"/>
      <c r="G268" s="431">
        <f>IF($D268="1000 pounds",$C268*1000,
IF($D268="kbtu",$C268,
IF($D268="therms",$C268*100,
IF($D268="ton-hour",$C268*12,0))))</f>
        <v>0</v>
      </c>
      <c r="H268" s="451" t="s">
        <v>1887</v>
      </c>
      <c r="J268" s="730"/>
      <c r="L268" s="730"/>
    </row>
    <row r="269" spans="1:14" ht="15" customHeight="1" outlineLevel="1">
      <c r="A269" s="492"/>
      <c r="B269" s="492"/>
      <c r="C269" s="493"/>
      <c r="D269" s="493"/>
      <c r="E269" s="494"/>
      <c r="F269" s="491"/>
      <c r="G269" s="495"/>
    </row>
    <row r="270" spans="1:14" s="496" customFormat="1" ht="15" customHeight="1" outlineLevel="1">
      <c r="A270"/>
      <c r="B270"/>
      <c r="C270"/>
      <c r="D270"/>
      <c r="E270"/>
      <c r="F270"/>
      <c r="G270"/>
      <c r="H270"/>
      <c r="I270"/>
      <c r="J270"/>
      <c r="K270"/>
      <c r="L270"/>
      <c r="M270"/>
      <c r="N270"/>
    </row>
    <row r="271" spans="1:14" s="496" customFormat="1" ht="36" customHeight="1" outlineLevel="1">
      <c r="A271"/>
      <c r="B271"/>
      <c r="C271"/>
      <c r="D271"/>
      <c r="E271"/>
      <c r="F271"/>
      <c r="G271"/>
      <c r="H271"/>
      <c r="I271"/>
      <c r="J271"/>
      <c r="K271"/>
      <c r="L271"/>
      <c r="M271"/>
      <c r="N271"/>
    </row>
    <row r="272" spans="1:14" s="496" customFormat="1" ht="36" customHeight="1" outlineLevel="1">
      <c r="A272"/>
      <c r="B272"/>
      <c r="C272"/>
      <c r="D272"/>
      <c r="E272"/>
      <c r="F272"/>
      <c r="G272"/>
      <c r="H272"/>
      <c r="I272"/>
      <c r="J272"/>
      <c r="K272"/>
      <c r="L272"/>
      <c r="M272"/>
      <c r="N272"/>
    </row>
    <row r="273" spans="1:14" s="496" customFormat="1" ht="19.5" customHeight="1" outlineLevel="1">
      <c r="A273"/>
      <c r="B273"/>
      <c r="C273"/>
      <c r="D273"/>
      <c r="E273"/>
      <c r="F273"/>
      <c r="G273"/>
      <c r="H273"/>
      <c r="I273"/>
      <c r="J273"/>
      <c r="K273"/>
      <c r="L273"/>
      <c r="M273"/>
      <c r="N273"/>
    </row>
    <row r="274" spans="1:14" s="496" customFormat="1" ht="19.5" customHeight="1" outlineLevel="1">
      <c r="A274"/>
      <c r="B274"/>
      <c r="C274"/>
      <c r="D274"/>
      <c r="E274"/>
      <c r="F274"/>
      <c r="G274"/>
      <c r="H274"/>
      <c r="I274"/>
      <c r="J274"/>
      <c r="K274"/>
      <c r="L274"/>
      <c r="M274"/>
      <c r="N274"/>
    </row>
    <row r="275" spans="1:14" s="496" customFormat="1" ht="28.5" customHeight="1" outlineLevel="1">
      <c r="A275"/>
      <c r="B275"/>
      <c r="C275"/>
      <c r="D275"/>
      <c r="E275"/>
      <c r="F275"/>
      <c r="G275"/>
      <c r="H275"/>
      <c r="I275"/>
      <c r="J275"/>
      <c r="K275"/>
      <c r="L275"/>
      <c r="M275"/>
      <c r="N275"/>
    </row>
    <row r="276" spans="1:14" s="496" customFormat="1" ht="36" customHeight="1" outlineLevel="1">
      <c r="A276"/>
      <c r="B276"/>
      <c r="C276"/>
      <c r="D276"/>
      <c r="E276"/>
      <c r="F276"/>
      <c r="G276"/>
      <c r="H276"/>
      <c r="I276"/>
      <c r="J276"/>
      <c r="K276"/>
      <c r="L276"/>
      <c r="M276"/>
      <c r="N276"/>
    </row>
    <row r="277" spans="1:14" s="496" customFormat="1" ht="15" customHeight="1" outlineLevel="1">
      <c r="A277"/>
      <c r="B277"/>
      <c r="C277"/>
      <c r="D277"/>
      <c r="E277"/>
      <c r="F277"/>
      <c r="G277"/>
      <c r="H277"/>
      <c r="I277"/>
      <c r="J277"/>
      <c r="K277"/>
      <c r="L277"/>
      <c r="M277"/>
      <c r="N277"/>
    </row>
    <row r="278" spans="1:14" s="496" customFormat="1" ht="59.45" customHeight="1" outlineLevel="1">
      <c r="A278"/>
      <c r="B278"/>
      <c r="C278"/>
      <c r="D278"/>
      <c r="E278"/>
      <c r="F278"/>
      <c r="G278"/>
      <c r="H278"/>
      <c r="I278"/>
      <c r="J278"/>
      <c r="K278"/>
      <c r="L278"/>
      <c r="M278"/>
      <c r="N278"/>
    </row>
    <row r="279" spans="1:14" s="496" customFormat="1" outlineLevel="1">
      <c r="A279"/>
      <c r="B279"/>
      <c r="C279"/>
      <c r="D279"/>
      <c r="E279"/>
      <c r="F279"/>
      <c r="G279"/>
      <c r="H279"/>
      <c r="I279"/>
      <c r="J279"/>
      <c r="K279"/>
      <c r="L279"/>
      <c r="M279"/>
      <c r="N279"/>
    </row>
    <row r="280" spans="1:14" s="496" customFormat="1" ht="21.95" customHeight="1" outlineLevel="1">
      <c r="A280"/>
      <c r="B280"/>
      <c r="C280"/>
      <c r="D280"/>
      <c r="E280"/>
      <c r="F280"/>
      <c r="G280"/>
      <c r="H280"/>
      <c r="I280"/>
      <c r="J280"/>
      <c r="K280"/>
      <c r="L280"/>
      <c r="M280"/>
      <c r="N280"/>
    </row>
    <row r="281" spans="1:14" s="496" customFormat="1" ht="21.95" customHeight="1" outlineLevel="1">
      <c r="A281"/>
      <c r="B281"/>
      <c r="C281"/>
      <c r="D281"/>
      <c r="E281"/>
      <c r="F281"/>
      <c r="G281"/>
      <c r="H281"/>
      <c r="I281"/>
      <c r="J281"/>
      <c r="K281"/>
      <c r="L281"/>
      <c r="M281"/>
      <c r="N281"/>
    </row>
    <row r="282" spans="1:14" s="496" customFormat="1" ht="21.95" customHeight="1" outlineLevel="1">
      <c r="A282"/>
      <c r="B282"/>
      <c r="C282"/>
      <c r="D282"/>
      <c r="E282"/>
      <c r="F282"/>
      <c r="G282"/>
      <c r="H282"/>
      <c r="I282"/>
      <c r="J282"/>
      <c r="K282"/>
      <c r="L282"/>
      <c r="M282"/>
      <c r="N282"/>
    </row>
    <row r="283" spans="1:14" s="496" customFormat="1" outlineLevel="1">
      <c r="A283"/>
      <c r="B283"/>
      <c r="C283"/>
      <c r="D283"/>
      <c r="E283"/>
      <c r="F283"/>
      <c r="G283"/>
      <c r="H283"/>
      <c r="I283"/>
      <c r="J283"/>
      <c r="K283"/>
      <c r="L283"/>
      <c r="M283"/>
      <c r="N283"/>
    </row>
    <row r="284" spans="1:14" s="496" customFormat="1">
      <c r="A284"/>
      <c r="B284"/>
      <c r="C284"/>
      <c r="D284"/>
      <c r="E284"/>
      <c r="F284"/>
      <c r="G284"/>
      <c r="H284"/>
      <c r="I284"/>
      <c r="J284"/>
      <c r="K284"/>
      <c r="L284"/>
      <c r="M284"/>
      <c r="N284"/>
    </row>
  </sheetData>
  <sheetProtection algorithmName="SHA-512" hashValue="rsJLDyYg6HWSzfEsYg74uhU5568egIylfClzDgUguplKu5QooCsqtjvebfbpBrNSrjRru2BsLlpn/VNNnDaFrQ==" saltValue="sEfJ/1Btpbvv3TyzIQ2Raw==" spinCount="100000" sheet="1" objects="1" scenarios="1"/>
  <mergeCells count="38">
    <mergeCell ref="A258:D258"/>
    <mergeCell ref="A242:B242"/>
    <mergeCell ref="C242:D242"/>
    <mergeCell ref="A245:D245"/>
    <mergeCell ref="A253:D253"/>
    <mergeCell ref="A255:B255"/>
    <mergeCell ref="C255:D255"/>
    <mergeCell ref="A240:D240"/>
    <mergeCell ref="A72:B72"/>
    <mergeCell ref="C72:D72"/>
    <mergeCell ref="A75:D75"/>
    <mergeCell ref="A217:G217"/>
    <mergeCell ref="A219:B219"/>
    <mergeCell ref="C219:D219"/>
    <mergeCell ref="A222:D222"/>
    <mergeCell ref="C224:C226"/>
    <mergeCell ref="D224:D226"/>
    <mergeCell ref="E224:E226"/>
    <mergeCell ref="A236:G236"/>
    <mergeCell ref="A70:H70"/>
    <mergeCell ref="A24:G24"/>
    <mergeCell ref="A25:G25"/>
    <mergeCell ref="D27:G27"/>
    <mergeCell ref="A42:G42"/>
    <mergeCell ref="A43:G43"/>
    <mergeCell ref="A45:B45"/>
    <mergeCell ref="C45:D45"/>
    <mergeCell ref="A49:D49"/>
    <mergeCell ref="A50:D50"/>
    <mergeCell ref="A51:D51"/>
    <mergeCell ref="A52:D52"/>
    <mergeCell ref="B68:C68"/>
    <mergeCell ref="A23:B23"/>
    <mergeCell ref="A4:E4"/>
    <mergeCell ref="A13:G13"/>
    <mergeCell ref="A17:G17"/>
    <mergeCell ref="A19:G19"/>
    <mergeCell ref="C21:D21"/>
  </mergeCells>
  <conditionalFormatting sqref="A27:D27">
    <cfRule type="expression" dxfId="20" priority="15">
      <formula>$C$21&lt;&gt;$B$6</formula>
    </cfRule>
  </conditionalFormatting>
  <conditionalFormatting sqref="A58:E58 J58:K65 A59:H65 H248:I249">
    <cfRule type="expression" dxfId="19" priority="18">
      <formula>$C$45&lt;&gt;$B$6</formula>
    </cfRule>
  </conditionalFormatting>
  <conditionalFormatting sqref="A28:G38">
    <cfRule type="expression" dxfId="18" priority="14">
      <formula>$C$21&lt;&gt;$B$6</formula>
    </cfRule>
  </conditionalFormatting>
  <conditionalFormatting sqref="A55:H57">
    <cfRule type="expression" dxfId="17" priority="1">
      <formula>$C$45&lt;&gt;$B$6</formula>
    </cfRule>
  </conditionalFormatting>
  <conditionalFormatting sqref="B77:E213">
    <cfRule type="expression" dxfId="16" priority="17">
      <formula>$C$72&lt;&gt;$B$6</formula>
    </cfRule>
  </conditionalFormatting>
  <conditionalFormatting sqref="B224:E233">
    <cfRule type="expression" dxfId="15" priority="16">
      <formula>$C$219&lt;&gt;$B$6</formula>
    </cfRule>
  </conditionalFormatting>
  <conditionalFormatting sqref="B262:E268 G262:H268">
    <cfRule type="expression" dxfId="14" priority="11">
      <formula>$C$255&lt;&gt;$B$6</formula>
    </cfRule>
  </conditionalFormatting>
  <conditionalFormatting sqref="B247:F249">
    <cfRule type="expression" dxfId="13" priority="5">
      <formula>$C$242&lt;&gt;$B$6</formula>
    </cfRule>
  </conditionalFormatting>
  <conditionalFormatting sqref="H247:I247">
    <cfRule type="expression" dxfId="11" priority="2">
      <formula>$C$242&lt;&gt;$B$6</formula>
    </cfRule>
  </conditionalFormatting>
  <conditionalFormatting sqref="I27:J28">
    <cfRule type="expression" dxfId="10" priority="13">
      <formula>$C$21&lt;&gt;$B$6</formula>
    </cfRule>
  </conditionalFormatting>
  <conditionalFormatting sqref="I30:J38">
    <cfRule type="expression" dxfId="9" priority="19">
      <formula>$C$21&lt;&gt;$B$6</formula>
    </cfRule>
  </conditionalFormatting>
  <dataValidations count="5">
    <dataValidation type="list" allowBlank="1" showInputMessage="1" showErrorMessage="1" sqref="C280:C283" xr:uid="{2E0F8977-BA73-4628-8BAF-C7A0770EFC47}">
      <formula1>$DR$3:$DR$9</formula1>
    </dataValidation>
    <dataValidation type="decimal" operator="greaterThanOrEqual" allowBlank="1" showInputMessage="1" showErrorMessage="1" error="You can only enter numbers in this cell" sqref="C264" xr:uid="{89D79575-BD37-4993-8CE1-4F4ACBD085C8}">
      <formula1>0</formula1>
    </dataValidation>
    <dataValidation type="decimal" operator="greaterThanOrEqual" allowBlank="1" showInputMessage="1" showErrorMessage="1" error="You can only enter numbers in this cell." sqref="C248 C265:C268 B30:B38" xr:uid="{9BFC378D-0861-4622-85C5-57C28C15CFE1}">
      <formula1>0</formula1>
    </dataValidation>
    <dataValidation type="decimal" operator="greaterThanOrEqual" allowBlank="1" showInputMessage="1" showErrorMessage="1" error="Solo puede ingresar números en esta celda." sqref="C39 C256 C249:C250 C252" xr:uid="{56E0E497-7165-407E-8773-0E4B66FE57E2}">
      <formula1>0</formula1>
    </dataValidation>
    <dataValidation type="list" allowBlank="1" showInputMessage="1" showErrorMessage="1" sqref="C21:D21 C242:D242 C219:D219 C45:D45 C72:D72 C255:D255" xr:uid="{4C21A8F7-B8E5-4189-9572-321D8F75E4F8}">
      <formula1>$B$6:$B$9</formula1>
    </dataValidation>
  </dataValidations>
  <hyperlinks>
    <hyperlink ref="F75" location="Refrigerants!A1" display="Complete &quot;Refrigerants&quot; sheet" xr:uid="{2C6622C7-5418-456A-BCE6-1DBB3237295B}"/>
    <hyperlink ref="F222" location="'Anesthetic Gases'!A1" display="Completar planilla &quot;Gases medicinales&quot;" xr:uid="{6CB642F0-953B-4508-B4CF-38D9AD70B582}"/>
  </hyperlinks>
  <pageMargins left="0.25" right="0.25" top="0.75" bottom="0.75" header="0.3" footer="0.3"/>
  <pageSetup paperSize="9" scale="47" orientation="landscape" r:id="rId1"/>
  <rowBreaks count="2" manualBreakCount="2">
    <brk id="38" max="16383" man="1"/>
    <brk id="213" max="16383" man="1"/>
  </rowBreaks>
  <ignoredErrors>
    <ignoredError sqref="I34" formula="1"/>
    <ignoredError sqref="A40" numberStoredAsText="1"/>
  </ignoredErrors>
  <drawing r:id="rId2"/>
  <extLst>
    <ext xmlns:x14="http://schemas.microsoft.com/office/spreadsheetml/2009/9/main" uri="{78C0D931-6437-407d-A8EE-F0AAD7539E65}">
      <x14:conditionalFormattings>
        <x14:conditionalFormatting xmlns:xm="http://schemas.microsoft.com/office/excel/2006/main">
          <x14:cfRule type="expression" priority="12" id="{00000000-000E-0000-0400-000002000000}">
            <xm:f>AND(LEFT(Instructions!$C$5,3)&lt;&gt;"US-",LEFT(Instructions!$C$5,6)&lt;&gt;"Canada")</xm:f>
            <x14:dxf>
              <fill>
                <patternFill patternType="darkUp"/>
              </fill>
            </x14:dxf>
          </x14:cfRule>
          <xm:sqref>B262:H268</xm:sqref>
        </x14:conditionalFormatting>
      </x14:conditionalFormattings>
    </ext>
    <ext xmlns:x14="http://schemas.microsoft.com/office/spreadsheetml/2009/9/main" uri="{CCE6A557-97BC-4b89-ADB6-D9C93CAAB3DF}">
      <x14:dataValidations xmlns:xm="http://schemas.microsoft.com/office/excel/2006/main" count="8">
        <x14:dataValidation type="list" allowBlank="1" showInputMessage="1" showErrorMessage="1" xr:uid="{D3C36215-2950-49EE-8340-E4DE8FBE8377}">
          <x14:formula1>
            <xm:f>'S1&amp;2 Lists'!$CU$3:$CU$8</xm:f>
          </x14:formula1>
          <xm:sqref>C30</xm:sqref>
        </x14:dataValidation>
        <x14:dataValidation type="list" allowBlank="1" showInputMessage="1" showErrorMessage="1" xr:uid="{D3CFA993-7875-49CA-AEA7-CA9EB2268B83}">
          <x14:formula1>
            <xm:f>'S1&amp;2 Lists'!$DS$3:$DS$6</xm:f>
          </x14:formula1>
          <xm:sqref>D264:D268</xm:sqref>
        </x14:dataValidation>
        <x14:dataValidation type="list" allowBlank="1" showInputMessage="1" showErrorMessage="1" xr:uid="{0BED544C-68B3-4B57-84BE-E2371BD88917}">
          <x14:formula1>
            <xm:f>'S1&amp;2 Lists'!$CU$3:$CU$6</xm:f>
          </x14:formula1>
          <xm:sqref>D63</xm:sqref>
        </x14:dataValidation>
        <x14:dataValidation type="list" allowBlank="1" showInputMessage="1" showErrorMessage="1" xr:uid="{05855B0B-B9C8-4D8C-B831-410FCEA68170}">
          <x14:formula1>
            <xm:f>'S1&amp;2 Lists'!$CV$3:$CV$7</xm:f>
          </x14:formula1>
          <xm:sqref>C34</xm:sqref>
        </x14:dataValidation>
        <x14:dataValidation type="list" allowBlank="1" showInputMessage="1" showErrorMessage="1" xr:uid="{1262555C-D414-42E2-8026-F71E10B1554F}">
          <x14:formula1>
            <xm:f>'S1&amp;2 Lists'!$CX$3:$CX$5</xm:f>
          </x14:formula1>
          <xm:sqref>C36:C37</xm:sqref>
        </x14:dataValidation>
        <x14:dataValidation type="list" allowBlank="1" showInputMessage="1" showErrorMessage="1" xr:uid="{3376907F-3F7F-481A-B4CF-414750AA2CBC}">
          <x14:formula1>
            <xm:f>'S1&amp;2 Lists'!$DQ$3:$DQ$9</xm:f>
          </x14:formula1>
          <xm:sqref>D284</xm:sqref>
        </x14:dataValidation>
        <x14:dataValidation type="list" allowBlank="1" showInputMessage="1" showErrorMessage="1" xr:uid="{79B35216-B249-4F5C-AB46-10733F32E11D}">
          <x14:formula1>
            <xm:f>'S1&amp;2 Lists'!$CW$3:$CW$4</xm:f>
          </x14:formula1>
          <xm:sqref>D61:D62 C35 C38 C31:C33</xm:sqref>
        </x14:dataValidation>
        <x14:dataValidation type="list" allowBlank="1" showInputMessage="1" showErrorMessage="1" xr:uid="{B5412218-2EA8-4D09-937F-FAC23B6222F5}">
          <x14:formula1>
            <xm:f>'S1&amp;2 Lists'!$DV$3:$DV$6</xm:f>
          </x14:formula1>
          <xm:sqref>D248:D249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090F2-6341-40D0-B7F7-89B4B343CB53}">
  <sheetPr codeName="Sheet7">
    <tabColor theme="2" tint="-0.249977111117893"/>
  </sheetPr>
  <dimension ref="A1:DV281"/>
  <sheetViews>
    <sheetView topLeftCell="AO1" zoomScale="90" zoomScaleNormal="90" workbookViewId="0">
      <pane ySplit="2" topLeftCell="A93" activePane="bottomLeft" state="frozen"/>
      <selection activeCell="C8" sqref="C8"/>
      <selection pane="bottomLeft" activeCell="AW109" sqref="AW109"/>
    </sheetView>
  </sheetViews>
  <sheetFormatPr defaultColWidth="10.5" defaultRowHeight="12.75"/>
  <cols>
    <col min="1" max="1" width="5.875" style="508" customWidth="1"/>
    <col min="2" max="2" width="1.125" style="518" customWidth="1"/>
    <col min="3" max="3" width="30.875" style="539" customWidth="1"/>
    <col min="4" max="4" width="11.375" style="508" customWidth="1"/>
    <col min="5" max="5" width="13" style="539" customWidth="1"/>
    <col min="6" max="6" width="13" style="508" customWidth="1"/>
    <col min="7" max="7" width="10.125" style="560" customWidth="1"/>
    <col min="8" max="8" width="13" style="508" customWidth="1"/>
    <col min="9" max="9" width="10.125" style="560" customWidth="1"/>
    <col min="10" max="10" width="17.375" style="508" customWidth="1"/>
    <col min="11" max="11" width="1.125" style="518" customWidth="1"/>
    <col min="12" max="12" width="13.125" style="539" customWidth="1"/>
    <col min="13" max="13" width="14.125" style="539" customWidth="1"/>
    <col min="14" max="14" width="17.625" style="539" customWidth="1"/>
    <col min="15" max="21" width="14.125" style="539" customWidth="1"/>
    <col min="22" max="22" width="24.125" style="539" customWidth="1"/>
    <col min="23" max="23" width="1.125" style="518" customWidth="1"/>
    <col min="24" max="24" width="27" style="539" customWidth="1"/>
    <col min="25" max="25" width="18.125" style="539" customWidth="1"/>
    <col min="26" max="26" width="17.625" style="539" bestFit="1" customWidth="1"/>
    <col min="27" max="27" width="19" style="539" customWidth="1"/>
    <col min="28" max="28" width="9.375" style="539" bestFit="1" customWidth="1"/>
    <col min="29" max="29" width="16.875" style="539" customWidth="1"/>
    <col min="30" max="30" width="1.125" style="518" customWidth="1"/>
    <col min="31" max="31" width="9.375" style="539" bestFit="1" customWidth="1"/>
    <col min="32" max="32" width="15.125" style="539" customWidth="1"/>
    <col min="33" max="33" width="1.125" style="518" customWidth="1"/>
    <col min="34" max="34" width="25.875" style="539" customWidth="1"/>
    <col min="35" max="35" width="1.125" style="518" customWidth="1"/>
    <col min="36" max="36" width="25.875" style="539" customWidth="1"/>
    <col min="37" max="37" width="1.125" style="518" customWidth="1"/>
    <col min="38" max="38" width="10.5" style="539"/>
    <col min="39" max="39" width="1.125" style="518" customWidth="1"/>
    <col min="40" max="40" width="46.5" style="539" customWidth="1"/>
    <col min="41" max="41" width="1.125" style="518" customWidth="1"/>
    <col min="42" max="42" width="38.875" style="498" bestFit="1" customWidth="1"/>
    <col min="43" max="43" width="1.125" style="518" customWidth="1"/>
    <col min="44" max="44" width="10.5" style="508"/>
    <col min="45" max="45" width="11.375" style="508" customWidth="1"/>
    <col min="46" max="46" width="1.125" style="518" customWidth="1"/>
    <col min="47" max="47" width="22.375" style="539" bestFit="1" customWidth="1"/>
    <col min="48" max="48" width="1.125" style="518" customWidth="1"/>
    <col min="49" max="49" width="27.375" style="539" customWidth="1"/>
    <col min="50" max="51" width="26.375" style="539" customWidth="1"/>
    <col min="52" max="54" width="10.5" style="539" customWidth="1"/>
    <col min="55" max="55" width="20.625" style="539" customWidth="1"/>
    <col min="56" max="56" width="10.5" style="539" customWidth="1"/>
    <col min="57" max="57" width="12.625" style="539" customWidth="1"/>
    <col min="58" max="58" width="12.375" style="539" customWidth="1"/>
    <col min="59" max="59" width="10.5" style="539" customWidth="1"/>
    <col min="60" max="60" width="13" style="539" customWidth="1"/>
    <col min="61" max="61" width="8" style="539" customWidth="1"/>
    <col min="62" max="62" width="15.125" style="539" customWidth="1"/>
    <col min="63" max="63" width="6.625" style="539" customWidth="1"/>
    <col min="64" max="64" width="11.375" style="539" customWidth="1"/>
    <col min="65" max="66" width="9.625" style="539" customWidth="1"/>
    <col min="67" max="68" width="5.5" style="539" customWidth="1"/>
    <col min="69" max="69" width="11.625" style="539" customWidth="1"/>
    <col min="70" max="70" width="13.875" style="539" customWidth="1"/>
    <col min="71" max="71" width="17" style="539" customWidth="1"/>
    <col min="72" max="72" width="24.5" style="539" customWidth="1"/>
    <col min="73" max="73" width="26.625" style="539" customWidth="1"/>
    <col min="74" max="75" width="30.875" style="539" customWidth="1"/>
    <col min="76" max="76" width="24.625" style="539" bestFit="1" customWidth="1"/>
    <col min="77" max="77" width="1.125" style="518" customWidth="1"/>
    <col min="78" max="78" width="13.625" style="539" customWidth="1"/>
    <col min="79" max="87" width="10.5" style="539"/>
    <col min="88" max="88" width="1.125" style="518" customWidth="1"/>
    <col min="89" max="89" width="40.625" style="539" customWidth="1"/>
    <col min="90" max="90" width="1.125" style="518" customWidth="1"/>
    <col min="91" max="91" width="10.5" style="508"/>
    <col min="92" max="92" width="1.125" style="518" customWidth="1"/>
    <col min="93" max="93" width="6.625" style="508" customWidth="1"/>
    <col min="94" max="97" width="10.5" style="508"/>
    <col min="98" max="98" width="1.125" style="518" customWidth="1"/>
    <col min="99" max="99" width="12.375" style="508" customWidth="1"/>
    <col min="100" max="100" width="12" style="539" customWidth="1"/>
    <col min="101" max="101" width="26.125" style="539" customWidth="1"/>
    <col min="102" max="102" width="13.125" style="539" customWidth="1"/>
    <col min="103" max="103" width="1.125" style="518" customWidth="1"/>
    <col min="104" max="104" width="10.5" style="508"/>
    <col min="105" max="105" width="1.125" style="518" customWidth="1"/>
    <col min="106" max="106" width="10.5" style="539"/>
    <col min="107" max="107" width="21.375" style="539" customWidth="1"/>
    <col min="108" max="108" width="16" style="539" customWidth="1"/>
    <col min="109" max="109" width="1.125" style="518" customWidth="1"/>
    <col min="110" max="110" width="19.875" style="539" customWidth="1"/>
    <col min="111" max="111" width="1.125" style="518" customWidth="1"/>
    <col min="112" max="112" width="35.625" style="539" customWidth="1"/>
    <col min="113" max="113" width="15.125" style="539" bestFit="1" customWidth="1"/>
    <col min="114" max="114" width="23.625" style="539" bestFit="1" customWidth="1"/>
    <col min="115" max="116" width="10.5" style="539"/>
    <col min="117" max="117" width="1.125" style="518" customWidth="1"/>
    <col min="118" max="118" width="26.625" style="539" customWidth="1"/>
    <col min="119" max="119" width="13.5" style="539" customWidth="1"/>
    <col min="120" max="120" width="1.125" style="518" customWidth="1"/>
    <col min="121" max="121" width="36.125" style="539" customWidth="1"/>
    <col min="122" max="122" width="1.125" style="518" customWidth="1"/>
    <col min="123" max="124" width="20.875" style="539" customWidth="1"/>
    <col min="125" max="125" width="14.875" style="539" bestFit="1" customWidth="1"/>
    <col min="126" max="16384" width="10.5" style="539"/>
  </cols>
  <sheetData>
    <row r="1" spans="1:126" s="508" customFormat="1" ht="15" customHeight="1">
      <c r="A1" s="1479" t="s">
        <v>1</v>
      </c>
      <c r="B1" s="501"/>
      <c r="C1" s="736"/>
      <c r="D1" s="736"/>
      <c r="E1" s="736"/>
      <c r="F1" s="736"/>
      <c r="G1" s="1401"/>
      <c r="H1" s="1481" t="s">
        <v>1895</v>
      </c>
      <c r="I1" s="1483" t="s">
        <v>26</v>
      </c>
      <c r="J1" s="1484" t="s">
        <v>1896</v>
      </c>
      <c r="K1" s="501"/>
      <c r="L1" s="1481" t="s">
        <v>1897</v>
      </c>
      <c r="M1" s="1481" t="s">
        <v>1898</v>
      </c>
      <c r="N1" s="1481" t="s">
        <v>1899</v>
      </c>
      <c r="O1" s="1481" t="s">
        <v>1900</v>
      </c>
      <c r="P1" s="1481" t="s">
        <v>1901</v>
      </c>
      <c r="Q1" s="1481" t="s">
        <v>1902</v>
      </c>
      <c r="R1" s="1481" t="s">
        <v>1903</v>
      </c>
      <c r="S1" s="1481" t="s">
        <v>1904</v>
      </c>
      <c r="T1" s="1481" t="s">
        <v>1905</v>
      </c>
      <c r="U1" s="1481" t="s">
        <v>1906</v>
      </c>
      <c r="V1" s="1481" t="s">
        <v>1896</v>
      </c>
      <c r="W1" s="501"/>
      <c r="X1" s="1481" t="s">
        <v>1907</v>
      </c>
      <c r="Y1" s="1481" t="s">
        <v>1908</v>
      </c>
      <c r="Z1" s="1481" t="s">
        <v>1909</v>
      </c>
      <c r="AA1" s="1481" t="s">
        <v>1910</v>
      </c>
      <c r="AB1" s="1481" t="s">
        <v>26</v>
      </c>
      <c r="AC1" s="1481" t="s">
        <v>1896</v>
      </c>
      <c r="AD1" s="501"/>
      <c r="AE1" s="1481" t="s">
        <v>1911</v>
      </c>
      <c r="AF1" s="1481" t="s">
        <v>1912</v>
      </c>
      <c r="AG1" s="501"/>
      <c r="AH1" s="1481" t="s">
        <v>1913</v>
      </c>
      <c r="AI1" s="501"/>
      <c r="AJ1" s="1481" t="s">
        <v>1914</v>
      </c>
      <c r="AK1" s="501"/>
      <c r="AL1" s="1481" t="s">
        <v>1915</v>
      </c>
      <c r="AM1" s="501"/>
      <c r="AN1" s="1481" t="s">
        <v>1916</v>
      </c>
      <c r="AO1" s="501"/>
      <c r="AP1" s="1481" t="s">
        <v>1917</v>
      </c>
      <c r="AQ1" s="501"/>
      <c r="AR1" s="1481" t="s">
        <v>1918</v>
      </c>
      <c r="AS1" s="1481" t="s">
        <v>1919</v>
      </c>
      <c r="AT1" s="501"/>
      <c r="AU1" s="1481" t="s">
        <v>1920</v>
      </c>
      <c r="AV1" s="501"/>
      <c r="AW1" s="503"/>
      <c r="AX1" s="503"/>
      <c r="AY1" s="503"/>
      <c r="AZ1" s="1488" t="s">
        <v>1921</v>
      </c>
      <c r="BA1" s="1489"/>
      <c r="BB1" s="1488" t="s">
        <v>1922</v>
      </c>
      <c r="BC1" s="1489"/>
      <c r="BD1" s="1488" t="s">
        <v>1923</v>
      </c>
      <c r="BE1" s="1489"/>
      <c r="BF1" s="1489"/>
      <c r="BG1" s="1490"/>
      <c r="BH1" s="1491" t="s">
        <v>1924</v>
      </c>
      <c r="BI1" s="1492"/>
      <c r="BJ1" s="1492"/>
      <c r="BK1" s="1492"/>
      <c r="BL1" s="1492"/>
      <c r="BM1" s="1492"/>
      <c r="BN1" s="1492"/>
      <c r="BO1" s="1492"/>
      <c r="BP1" s="1492"/>
      <c r="BQ1" s="1493"/>
      <c r="BR1" s="1488" t="s">
        <v>1886</v>
      </c>
      <c r="BS1" s="1489"/>
      <c r="BT1" s="1489"/>
      <c r="BU1" s="1489"/>
      <c r="BV1" s="1489"/>
      <c r="BW1" s="1489"/>
      <c r="BX1" s="1489"/>
      <c r="BY1" s="504"/>
      <c r="BZ1" s="1486" t="s">
        <v>1925</v>
      </c>
      <c r="CA1" s="1506" t="s">
        <v>1924</v>
      </c>
      <c r="CB1" s="1507"/>
      <c r="CC1" s="1507"/>
      <c r="CD1" s="1507"/>
      <c r="CE1" s="1507"/>
      <c r="CF1" s="1507"/>
      <c r="CG1" s="1507"/>
      <c r="CH1" s="1507"/>
      <c r="CI1" s="1508"/>
      <c r="CJ1" s="505"/>
      <c r="CK1" s="1481" t="s">
        <v>1926</v>
      </c>
      <c r="CL1" s="501"/>
      <c r="CM1" s="1481" t="s">
        <v>1927</v>
      </c>
      <c r="CN1" s="501"/>
      <c r="CO1" s="1509" t="s">
        <v>1928</v>
      </c>
      <c r="CP1" s="1510"/>
      <c r="CQ1" s="1509" t="s">
        <v>1929</v>
      </c>
      <c r="CR1" s="1510"/>
      <c r="CS1" s="1511" t="s">
        <v>26</v>
      </c>
      <c r="CT1" s="501"/>
      <c r="CU1" s="1498" t="str">
        <f>+L3</f>
        <v>Natural gas</v>
      </c>
      <c r="CV1" s="1500" t="str">
        <f>+L7</f>
        <v>Liquefied Petroleum Gases (LPG)</v>
      </c>
      <c r="CW1" s="1500" t="s">
        <v>1930</v>
      </c>
      <c r="CX1" s="1501" t="s">
        <v>1931</v>
      </c>
      <c r="CY1" s="501"/>
      <c r="CZ1" s="1481" t="s">
        <v>1932</v>
      </c>
      <c r="DA1" s="501"/>
      <c r="DB1" s="1503" t="s">
        <v>1933</v>
      </c>
      <c r="DC1" s="1504"/>
      <c r="DD1" s="1505"/>
      <c r="DE1" s="501"/>
      <c r="DF1" s="1481" t="s">
        <v>1934</v>
      </c>
      <c r="DG1" s="501"/>
      <c r="DH1" s="503"/>
      <c r="DI1" s="503"/>
      <c r="DJ1" s="503"/>
      <c r="DK1" s="1488" t="s">
        <v>1935</v>
      </c>
      <c r="DL1" s="1489"/>
      <c r="DM1" s="501"/>
      <c r="DN1" s="503" t="s">
        <v>1936</v>
      </c>
      <c r="DO1" s="503"/>
      <c r="DP1" s="501"/>
      <c r="DQ1" s="503" t="s">
        <v>1937</v>
      </c>
      <c r="DR1" s="501"/>
      <c r="DS1" s="503" t="s">
        <v>1938</v>
      </c>
      <c r="DT1" s="1494" t="s">
        <v>1939</v>
      </c>
      <c r="DU1" s="503" t="s">
        <v>3290</v>
      </c>
      <c r="DV1" s="503" t="s">
        <v>3293</v>
      </c>
    </row>
    <row r="2" spans="1:126" s="439" customFormat="1" ht="27" customHeight="1" thickBot="1">
      <c r="A2" s="1480"/>
      <c r="B2" s="509"/>
      <c r="C2" s="736" t="s">
        <v>1860</v>
      </c>
      <c r="D2" s="736" t="s">
        <v>1892</v>
      </c>
      <c r="E2" s="736" t="s">
        <v>1893</v>
      </c>
      <c r="F2" s="736" t="s">
        <v>1894</v>
      </c>
      <c r="G2" s="1401" t="s">
        <v>26</v>
      </c>
      <c r="H2" s="1482"/>
      <c r="I2" s="1483"/>
      <c r="J2" s="1485"/>
      <c r="K2" s="509"/>
      <c r="L2" s="1482"/>
      <c r="M2" s="1482"/>
      <c r="N2" s="1482"/>
      <c r="O2" s="1482"/>
      <c r="P2" s="1482"/>
      <c r="Q2" s="1482"/>
      <c r="R2" s="1482"/>
      <c r="S2" s="1482"/>
      <c r="T2" s="1482"/>
      <c r="U2" s="1482"/>
      <c r="V2" s="1482"/>
      <c r="W2" s="509"/>
      <c r="X2" s="1482"/>
      <c r="Y2" s="1482"/>
      <c r="Z2" s="1482"/>
      <c r="AA2" s="1482"/>
      <c r="AB2" s="1482"/>
      <c r="AC2" s="1482"/>
      <c r="AD2" s="509"/>
      <c r="AE2" s="1482"/>
      <c r="AF2" s="1482"/>
      <c r="AG2" s="509"/>
      <c r="AH2" s="1482"/>
      <c r="AI2" s="509"/>
      <c r="AJ2" s="1482"/>
      <c r="AK2" s="509"/>
      <c r="AL2" s="1482"/>
      <c r="AM2" s="509"/>
      <c r="AN2" s="1482"/>
      <c r="AO2" s="509"/>
      <c r="AP2" s="1482"/>
      <c r="AQ2" s="509"/>
      <c r="AR2" s="1482"/>
      <c r="AS2" s="1482"/>
      <c r="AT2" s="509"/>
      <c r="AU2" s="1482"/>
      <c r="AV2" s="509"/>
      <c r="AW2" s="503" t="s">
        <v>4</v>
      </c>
      <c r="AX2" s="511" t="s">
        <v>1940</v>
      </c>
      <c r="AY2" s="511" t="s">
        <v>1941</v>
      </c>
      <c r="AZ2" s="503" t="s">
        <v>1942</v>
      </c>
      <c r="BA2" s="503" t="s">
        <v>1943</v>
      </c>
      <c r="BB2" s="510" t="s">
        <v>1944</v>
      </c>
      <c r="BC2" s="502" t="s">
        <v>1943</v>
      </c>
      <c r="BD2" s="510" t="s">
        <v>1945</v>
      </c>
      <c r="BE2" s="510" t="s">
        <v>1946</v>
      </c>
      <c r="BF2" s="502" t="s">
        <v>26</v>
      </c>
      <c r="BG2" s="510" t="s">
        <v>1896</v>
      </c>
      <c r="BH2" s="510" t="s">
        <v>1947</v>
      </c>
      <c r="BI2" s="510" t="s">
        <v>1948</v>
      </c>
      <c r="BJ2" s="510" t="s">
        <v>1949</v>
      </c>
      <c r="BK2" s="510" t="s">
        <v>30</v>
      </c>
      <c r="BL2" s="510" t="s">
        <v>1950</v>
      </c>
      <c r="BM2" s="510" t="s">
        <v>1951</v>
      </c>
      <c r="BN2" s="510" t="s">
        <v>20</v>
      </c>
      <c r="BO2" s="510" t="s">
        <v>1952</v>
      </c>
      <c r="BP2" s="506" t="s">
        <v>8</v>
      </c>
      <c r="BQ2" s="507" t="s">
        <v>26</v>
      </c>
      <c r="BR2" s="510" t="s">
        <v>1953</v>
      </c>
      <c r="BS2" s="510" t="s">
        <v>1954</v>
      </c>
      <c r="BT2" s="510" t="s">
        <v>1889</v>
      </c>
      <c r="BU2" s="510" t="s">
        <v>1890</v>
      </c>
      <c r="BV2" s="510" t="s">
        <v>1891</v>
      </c>
      <c r="BW2" s="506" t="s">
        <v>0</v>
      </c>
      <c r="BX2" s="507" t="s">
        <v>26</v>
      </c>
      <c r="BY2" s="512"/>
      <c r="BZ2" s="1487"/>
      <c r="CA2" s="513" t="str">
        <f t="shared" ref="CA2:CH2" si="0">+BH2</f>
        <v>Paper/cardboard</v>
      </c>
      <c r="CB2" s="513" t="str">
        <f t="shared" si="0"/>
        <v>Textiles</v>
      </c>
      <c r="CC2" s="513" t="str">
        <f t="shared" si="0"/>
        <v>Food waste</v>
      </c>
      <c r="CD2" s="513" t="str">
        <f t="shared" si="0"/>
        <v>Wood</v>
      </c>
      <c r="CE2" s="513" t="str">
        <f t="shared" si="0"/>
        <v>Garden and Park Waste</v>
      </c>
      <c r="CF2" s="513" t="str">
        <f t="shared" si="0"/>
        <v>Nappies</v>
      </c>
      <c r="CG2" s="513" t="str">
        <f t="shared" si="0"/>
        <v>Plastics</v>
      </c>
      <c r="CH2" s="513" t="str">
        <f t="shared" si="0"/>
        <v>Other</v>
      </c>
      <c r="CI2" s="514" t="s">
        <v>8</v>
      </c>
      <c r="CJ2" s="515"/>
      <c r="CK2" s="1482"/>
      <c r="CL2" s="509"/>
      <c r="CM2" s="1482" t="s">
        <v>1955</v>
      </c>
      <c r="CN2" s="509"/>
      <c r="CO2" s="507" t="s">
        <v>1956</v>
      </c>
      <c r="CP2" s="507" t="s">
        <v>0</v>
      </c>
      <c r="CQ2" s="507" t="s">
        <v>1956</v>
      </c>
      <c r="CR2" s="507" t="s">
        <v>1957</v>
      </c>
      <c r="CS2" s="1511"/>
      <c r="CT2" s="509"/>
      <c r="CU2" s="1499"/>
      <c r="CV2" s="1500"/>
      <c r="CW2" s="1500"/>
      <c r="CX2" s="1502"/>
      <c r="CY2" s="509"/>
      <c r="CZ2" s="1482" t="s">
        <v>1955</v>
      </c>
      <c r="DA2" s="509"/>
      <c r="DB2" s="516" t="s">
        <v>33</v>
      </c>
      <c r="DC2" s="516" t="s">
        <v>1958</v>
      </c>
      <c r="DD2" s="516" t="s">
        <v>26</v>
      </c>
      <c r="DE2" s="509"/>
      <c r="DF2" s="1482" t="s">
        <v>1955</v>
      </c>
      <c r="DG2" s="509"/>
      <c r="DH2" s="510" t="s">
        <v>4</v>
      </c>
      <c r="DI2" s="511" t="s">
        <v>1940</v>
      </c>
      <c r="DJ2" s="511" t="s">
        <v>1941</v>
      </c>
      <c r="DK2" s="510" t="s">
        <v>1959</v>
      </c>
      <c r="DL2" s="510" t="s">
        <v>1960</v>
      </c>
      <c r="DM2" s="509"/>
      <c r="DN2" s="510" t="s">
        <v>1961</v>
      </c>
      <c r="DO2" s="511" t="s">
        <v>1962</v>
      </c>
      <c r="DP2" s="509"/>
      <c r="DQ2" s="510" t="s">
        <v>1963</v>
      </c>
      <c r="DR2" s="509"/>
      <c r="DS2" s="510" t="s">
        <v>1964</v>
      </c>
      <c r="DT2" s="1494"/>
      <c r="DU2" s="510" t="s">
        <v>3287</v>
      </c>
      <c r="DV2" s="510" t="s">
        <v>3287</v>
      </c>
    </row>
    <row r="3" spans="1:126" ht="38.25" customHeight="1">
      <c r="A3" s="517">
        <v>2015</v>
      </c>
      <c r="C3" s="463" t="s">
        <v>1993</v>
      </c>
      <c r="D3" s="519" t="s">
        <v>1966</v>
      </c>
      <c r="E3" s="731">
        <v>273</v>
      </c>
      <c r="F3" s="520" t="s">
        <v>1994</v>
      </c>
      <c r="G3" s="521" t="s">
        <v>2929</v>
      </c>
      <c r="H3" s="520"/>
      <c r="I3" s="521"/>
      <c r="J3" s="520"/>
      <c r="L3" s="522" t="s">
        <v>10</v>
      </c>
      <c r="M3" s="523" t="s">
        <v>1967</v>
      </c>
      <c r="N3" s="523">
        <v>0.7</v>
      </c>
      <c r="O3" s="517">
        <v>48</v>
      </c>
      <c r="P3" s="523">
        <v>56.1</v>
      </c>
      <c r="Q3" s="517">
        <v>5.0000000000000001E-3</v>
      </c>
      <c r="R3" s="517">
        <v>1E-4</v>
      </c>
      <c r="S3" s="523">
        <v>56.1</v>
      </c>
      <c r="T3" s="523">
        <v>9.1999999999999998E-2</v>
      </c>
      <c r="U3" s="523">
        <v>3.0000000000000001E-3</v>
      </c>
      <c r="V3" s="523" t="s">
        <v>1968</v>
      </c>
      <c r="X3" s="524" t="s">
        <v>1969</v>
      </c>
      <c r="Y3" s="525">
        <f>451.11/$Y$25</f>
        <v>280.30745523009432</v>
      </c>
      <c r="Z3" s="526">
        <f>0.0005/$Y$25</f>
        <v>3.1068636832490336E-4</v>
      </c>
      <c r="AA3" s="526">
        <f>0.001/$Y$25</f>
        <v>6.2137273664980672E-4</v>
      </c>
      <c r="AB3" s="527" t="s">
        <v>1970</v>
      </c>
      <c r="AC3" s="526"/>
      <c r="AE3" s="528" t="s">
        <v>1965</v>
      </c>
      <c r="AF3" s="517">
        <v>4</v>
      </c>
      <c r="AH3" s="528" t="str">
        <f>+X3</f>
        <v>Private car (diesel)</v>
      </c>
      <c r="AJ3" s="528" t="str">
        <f>+X3</f>
        <v>Private car (diesel)</v>
      </c>
      <c r="AL3" s="528">
        <v>4</v>
      </c>
      <c r="AN3" s="529" t="s">
        <v>1971</v>
      </c>
      <c r="AP3" s="530" t="s">
        <v>1972</v>
      </c>
      <c r="AR3" s="531" t="s">
        <v>1973</v>
      </c>
      <c r="AS3" s="517">
        <v>52</v>
      </c>
      <c r="AU3" s="528" t="s">
        <v>1974</v>
      </c>
      <c r="AW3" s="1395" t="s">
        <v>2688</v>
      </c>
      <c r="AX3" s="1394" t="s">
        <v>2048</v>
      </c>
      <c r="AY3" s="1396" t="s">
        <v>2143</v>
      </c>
      <c r="AZ3" s="1395">
        <v>160</v>
      </c>
      <c r="BA3" s="527" t="s">
        <v>1977</v>
      </c>
      <c r="BB3" s="535">
        <v>13.490630673342661</v>
      </c>
      <c r="BC3" s="534" t="s">
        <v>1978</v>
      </c>
      <c r="BD3" s="536"/>
      <c r="BE3" s="536"/>
      <c r="BF3" s="534"/>
      <c r="BG3" s="536"/>
      <c r="BH3" s="537">
        <f t="shared" ref="BH3:BH10" si="1">+VLOOKUP($AY3,$BZ$3:$CH$21,2,FALSE)</f>
        <v>30</v>
      </c>
      <c r="BI3" s="537">
        <f t="shared" ref="BI3:BI10" si="2">+VLOOKUP($AY3,$BZ$3:$CH$21,3,FALSE)</f>
        <v>2</v>
      </c>
      <c r="BJ3" s="537">
        <f t="shared" ref="BJ3:BJ10" si="3">+VLOOKUP($AY3,$BZ$3:$CH$21,4,FALSE)</f>
        <v>36</v>
      </c>
      <c r="BK3" s="537">
        <f t="shared" ref="BK3:BK10" si="4">+VLOOKUP($AY3,$BZ$3:$CH$21,5,FALSE)</f>
        <v>24</v>
      </c>
      <c r="BL3" s="537">
        <f t="shared" ref="BL3:BL10" si="5">+VLOOKUP($AY3,$BZ$3:$CH$21,6,FALSE)</f>
        <v>2</v>
      </c>
      <c r="BM3" s="537">
        <f t="shared" ref="BM3:BM10" si="6">+VLOOKUP($AY3,$BZ$3:$CH$21,7,FALSE)</f>
        <v>2</v>
      </c>
      <c r="BN3" s="537">
        <f t="shared" ref="BN3:BN10" si="7">+VLOOKUP($AY3,$BZ$3:$CH$21,8,FALSE)</f>
        <v>2</v>
      </c>
      <c r="BO3" s="537">
        <f t="shared" ref="BO3:BO10" si="8">+VLOOKUP($AY3,$BZ$3:$CH$21,9,FALSE)</f>
        <v>2</v>
      </c>
      <c r="BP3" s="537">
        <f t="shared" ref="BP3:BP8" si="9">+SUM(BH3:BO3)</f>
        <v>100</v>
      </c>
      <c r="BQ3" s="534" t="s">
        <v>1979</v>
      </c>
      <c r="BR3" s="556">
        <v>8.8539999999999994E-2</v>
      </c>
      <c r="BS3" s="556">
        <v>8.8539999999999994E-2</v>
      </c>
      <c r="BT3" s="556">
        <v>1.719E-2</v>
      </c>
      <c r="BU3" s="556">
        <v>7.3859999999999995E-2</v>
      </c>
      <c r="BV3" s="556">
        <v>4.929E-2</v>
      </c>
      <c r="BW3" s="557" t="s">
        <v>2275</v>
      </c>
      <c r="BX3" s="534" t="s">
        <v>2276</v>
      </c>
      <c r="BZ3" s="538" t="s">
        <v>1980</v>
      </c>
      <c r="CA3" s="537">
        <v>18.8</v>
      </c>
      <c r="CB3" s="537">
        <v>3.5</v>
      </c>
      <c r="CC3" s="537">
        <v>26.2</v>
      </c>
      <c r="CD3" s="537">
        <v>3.5</v>
      </c>
      <c r="CE3" s="537">
        <v>9.5</v>
      </c>
      <c r="CF3" s="537">
        <v>5.6</v>
      </c>
      <c r="CG3" s="537">
        <v>14.3</v>
      </c>
      <c r="CH3" s="537">
        <f>100-SUM(CA3:CG3)</f>
        <v>18.600000000000009</v>
      </c>
      <c r="CI3" s="537">
        <f>+SUM(CA3:CH3)</f>
        <v>100</v>
      </c>
      <c r="CK3" s="539" t="str">
        <f>+'Results &amp; Summary'!B25</f>
        <v>Capital goods</v>
      </c>
      <c r="CM3" s="508" t="s">
        <v>1981</v>
      </c>
      <c r="CO3" s="508">
        <v>1</v>
      </c>
      <c r="CP3" s="508" t="s">
        <v>1982</v>
      </c>
      <c r="CQ3" s="540">
        <f>1/(+ROUND(1/0.001026,6)/CQ4)</f>
        <v>3.6228813574030939E-2</v>
      </c>
      <c r="CR3" s="508" t="s">
        <v>1983</v>
      </c>
      <c r="CS3" s="534" t="s">
        <v>1984</v>
      </c>
      <c r="CU3" s="508" t="s">
        <v>1982</v>
      </c>
      <c r="CV3" s="508" t="s">
        <v>12</v>
      </c>
      <c r="CW3" s="508" t="s">
        <v>1985</v>
      </c>
      <c r="CX3" s="508" t="s">
        <v>12</v>
      </c>
      <c r="CZ3" s="508" t="s">
        <v>1986</v>
      </c>
      <c r="DB3" s="508" t="s">
        <v>1987</v>
      </c>
      <c r="DC3" s="508">
        <v>0.5</v>
      </c>
      <c r="DD3" s="534" t="s">
        <v>1988</v>
      </c>
      <c r="DF3" s="508" t="s">
        <v>12</v>
      </c>
      <c r="DH3" s="539" t="str">
        <f t="shared" ref="DH3:DH34" si="10">AW3</f>
        <v>New Zealand</v>
      </c>
      <c r="DI3" s="539" t="str">
        <f t="shared" ref="DI3:DI34" si="11">AX3</f>
        <v>Oceania</v>
      </c>
      <c r="DJ3" s="539" t="str">
        <f t="shared" ref="DJ3:DJ34" si="12">AY3</f>
        <v>Australia and New Zealand</v>
      </c>
      <c r="DL3" s="539" t="s">
        <v>35</v>
      </c>
      <c r="DN3" s="539" t="s">
        <v>1989</v>
      </c>
      <c r="DO3" s="539" t="s">
        <v>1990</v>
      </c>
      <c r="DQ3" s="539" t="s">
        <v>1991</v>
      </c>
      <c r="DS3" s="541" t="s">
        <v>1887</v>
      </c>
      <c r="DT3" s="539" t="s">
        <v>1992</v>
      </c>
      <c r="DU3" s="539" t="s">
        <v>3288</v>
      </c>
      <c r="DV3" s="539" t="s">
        <v>1719</v>
      </c>
    </row>
    <row r="4" spans="1:126" ht="39" customHeight="1">
      <c r="A4" s="517">
        <f>+A3+1</f>
        <v>2016</v>
      </c>
      <c r="C4" s="463" t="s">
        <v>2018</v>
      </c>
      <c r="D4" s="519"/>
      <c r="E4" s="731">
        <v>539</v>
      </c>
      <c r="F4" s="520" t="s">
        <v>1994</v>
      </c>
      <c r="G4" s="521" t="s">
        <v>3280</v>
      </c>
      <c r="H4" s="542">
        <v>1.875</v>
      </c>
      <c r="I4" s="521" t="s">
        <v>1995</v>
      </c>
      <c r="J4" s="520" t="s">
        <v>1996</v>
      </c>
      <c r="L4" s="522" t="s">
        <v>16</v>
      </c>
      <c r="M4" s="523" t="s">
        <v>1997</v>
      </c>
      <c r="N4" s="523">
        <v>0.84</v>
      </c>
      <c r="O4" s="523">
        <v>43</v>
      </c>
      <c r="P4" s="517">
        <v>74.099999999999994</v>
      </c>
      <c r="Q4" s="517">
        <v>0.01</v>
      </c>
      <c r="R4" s="517">
        <v>5.9999999999999995E-4</v>
      </c>
      <c r="S4" s="523">
        <v>74.099999999999994</v>
      </c>
      <c r="T4" s="523">
        <v>3.8999999999999998E-3</v>
      </c>
      <c r="U4" s="523">
        <v>3.8999999999999998E-3</v>
      </c>
      <c r="V4" s="523" t="s">
        <v>1998</v>
      </c>
      <c r="X4" s="524" t="s">
        <v>1999</v>
      </c>
      <c r="Y4" s="525">
        <f>391.5/$Y$25</f>
        <v>243.26742639839935</v>
      </c>
      <c r="Z4" s="526">
        <f>0.0147/$Y$25</f>
        <v>9.1341792287521588E-3</v>
      </c>
      <c r="AA4" s="526">
        <f>0.0079/$Y$25</f>
        <v>4.9088446195334739E-3</v>
      </c>
      <c r="AB4" s="527" t="s">
        <v>1970</v>
      </c>
      <c r="AC4" s="526"/>
      <c r="AE4" s="528" t="s">
        <v>1993</v>
      </c>
      <c r="AF4" s="517">
        <v>0.3</v>
      </c>
      <c r="AH4" s="528" t="str">
        <f>+X4</f>
        <v>Private car (gasoline)</v>
      </c>
      <c r="AJ4" s="528" t="str">
        <f>+X4</f>
        <v>Private car (gasoline)</v>
      </c>
      <c r="AL4" s="528">
        <v>8</v>
      </c>
      <c r="AN4" s="529" t="s">
        <v>2000</v>
      </c>
      <c r="AP4" s="530" t="s">
        <v>2001</v>
      </c>
      <c r="AR4" s="531" t="s">
        <v>2002</v>
      </c>
      <c r="AS4" s="517">
        <v>12</v>
      </c>
      <c r="AU4" s="528" t="s">
        <v>2003</v>
      </c>
      <c r="AW4" s="1395" t="s">
        <v>2324</v>
      </c>
      <c r="AX4" s="1394" t="s">
        <v>2086</v>
      </c>
      <c r="AY4" s="1396" t="s">
        <v>2167</v>
      </c>
      <c r="AZ4" s="1395">
        <v>401</v>
      </c>
      <c r="BA4" s="527" t="s">
        <v>1977</v>
      </c>
      <c r="BB4" s="535">
        <v>23.69</v>
      </c>
      <c r="BC4" s="534" t="s">
        <v>2006</v>
      </c>
      <c r="BD4" s="536"/>
      <c r="BE4" s="536"/>
      <c r="BF4" s="534"/>
      <c r="BG4" s="536"/>
      <c r="BH4" s="537">
        <f t="shared" si="1"/>
        <v>17</v>
      </c>
      <c r="BI4" s="537">
        <f t="shared" si="2"/>
        <v>5.0999999999999996</v>
      </c>
      <c r="BJ4" s="537">
        <f t="shared" si="3"/>
        <v>46.9</v>
      </c>
      <c r="BK4" s="537">
        <f t="shared" si="4"/>
        <v>2.4</v>
      </c>
      <c r="BL4" s="537">
        <f t="shared" si="5"/>
        <v>9.5</v>
      </c>
      <c r="BM4" s="537">
        <f t="shared" si="6"/>
        <v>5.6</v>
      </c>
      <c r="BN4" s="537">
        <f t="shared" si="7"/>
        <v>9.9</v>
      </c>
      <c r="BO4" s="537">
        <f t="shared" si="8"/>
        <v>3.5999999999999943</v>
      </c>
      <c r="BP4" s="537">
        <f t="shared" si="9"/>
        <v>100</v>
      </c>
      <c r="BQ4" s="534" t="s">
        <v>1979</v>
      </c>
      <c r="BR4" s="556">
        <v>8.8539999999999994E-2</v>
      </c>
      <c r="BS4" s="556">
        <v>8.8539999999999994E-2</v>
      </c>
      <c r="BT4" s="556">
        <v>1.719E-2</v>
      </c>
      <c r="BU4" s="556">
        <v>7.3859999999999995E-2</v>
      </c>
      <c r="BV4" s="556">
        <v>4.929E-2</v>
      </c>
      <c r="BW4" s="557" t="s">
        <v>2275</v>
      </c>
      <c r="BX4" s="534" t="s">
        <v>2276</v>
      </c>
      <c r="BZ4" s="538" t="s">
        <v>2007</v>
      </c>
      <c r="CA4" s="537">
        <v>11.3</v>
      </c>
      <c r="CB4" s="537">
        <v>2.5</v>
      </c>
      <c r="CC4" s="537">
        <v>40.299999999999997</v>
      </c>
      <c r="CD4" s="537">
        <v>7.9</v>
      </c>
      <c r="CE4" s="537">
        <v>9.5</v>
      </c>
      <c r="CF4" s="537">
        <v>5.6</v>
      </c>
      <c r="CG4" s="537">
        <v>6.4</v>
      </c>
      <c r="CH4" s="537">
        <f t="shared" ref="CH4:CH13" si="13">100-SUM(CA4:CG4)</f>
        <v>16.5</v>
      </c>
      <c r="CI4" s="537">
        <f t="shared" ref="CI4:CI21" si="14">+SUM(CA4:CH4)</f>
        <v>100</v>
      </c>
      <c r="CK4" s="539" t="str">
        <f>+'Results &amp; Summary'!B34</f>
        <v>Use of sold products</v>
      </c>
      <c r="CM4" s="508" t="s">
        <v>2008</v>
      </c>
      <c r="CO4" s="508">
        <v>1</v>
      </c>
      <c r="CP4" s="508" t="s">
        <v>1982</v>
      </c>
      <c r="CQ4" s="543">
        <f>1/0.02832</f>
        <v>35.310734463276837</v>
      </c>
      <c r="CR4" s="508" t="s">
        <v>2009</v>
      </c>
      <c r="CS4" s="534" t="s">
        <v>1984</v>
      </c>
      <c r="CU4" s="508" t="s">
        <v>1983</v>
      </c>
      <c r="CV4" s="508" t="s">
        <v>13</v>
      </c>
      <c r="CW4" s="508" t="s">
        <v>2010</v>
      </c>
      <c r="CX4" s="508" t="s">
        <v>13</v>
      </c>
      <c r="CZ4" s="508" t="s">
        <v>2011</v>
      </c>
      <c r="DB4" s="508" t="s">
        <v>2012</v>
      </c>
      <c r="DC4" s="508">
        <v>0.02</v>
      </c>
      <c r="DD4" s="534" t="s">
        <v>1988</v>
      </c>
      <c r="DF4" s="508" t="s">
        <v>2010</v>
      </c>
      <c r="DH4" s="539" t="str">
        <f t="shared" si="10"/>
        <v>Cayman Islands</v>
      </c>
      <c r="DI4" s="539" t="str">
        <f t="shared" si="11"/>
        <v>Americas</v>
      </c>
      <c r="DJ4" s="539" t="str">
        <f t="shared" si="12"/>
        <v>Caribbean</v>
      </c>
      <c r="DL4" s="539" t="s">
        <v>35</v>
      </c>
      <c r="DN4" s="539" t="s">
        <v>2013</v>
      </c>
      <c r="DO4" s="539" t="s">
        <v>2014</v>
      </c>
      <c r="DQ4" s="539" t="s">
        <v>2015</v>
      </c>
      <c r="DS4" s="544" t="s">
        <v>2016</v>
      </c>
      <c r="DT4" s="539" t="s">
        <v>2017</v>
      </c>
      <c r="DU4" s="539" t="s">
        <v>3289</v>
      </c>
      <c r="DV4" s="539" t="s">
        <v>3294</v>
      </c>
    </row>
    <row r="5" spans="1:126" ht="63.75" customHeight="1">
      <c r="A5" s="517">
        <f>+A4+1</f>
        <v>2017</v>
      </c>
      <c r="C5" s="463" t="s">
        <v>2039</v>
      </c>
      <c r="D5" s="519"/>
      <c r="E5" s="731">
        <v>195</v>
      </c>
      <c r="F5" s="520" t="s">
        <v>1994</v>
      </c>
      <c r="G5" s="521" t="s">
        <v>3280</v>
      </c>
      <c r="H5" s="770">
        <v>1.496</v>
      </c>
      <c r="I5" s="521" t="s">
        <v>2019</v>
      </c>
      <c r="J5" s="520"/>
      <c r="L5" s="522" t="s">
        <v>2020</v>
      </c>
      <c r="M5" s="523" t="s">
        <v>1997</v>
      </c>
      <c r="N5" s="523">
        <v>0.94</v>
      </c>
      <c r="O5" s="523">
        <v>40.4</v>
      </c>
      <c r="P5" s="517">
        <v>77.400000000000006</v>
      </c>
      <c r="Q5" s="517">
        <v>0.01</v>
      </c>
      <c r="R5" s="517">
        <v>5.9999999999999995E-4</v>
      </c>
      <c r="S5" s="517" t="s">
        <v>1966</v>
      </c>
      <c r="T5" s="517" t="s">
        <v>1966</v>
      </c>
      <c r="U5" s="517" t="s">
        <v>1966</v>
      </c>
      <c r="V5" s="523" t="s">
        <v>2021</v>
      </c>
      <c r="X5" s="524" t="s">
        <v>2022</v>
      </c>
      <c r="Y5" s="525">
        <v>214.19</v>
      </c>
      <c r="Z5" s="526">
        <v>0</v>
      </c>
      <c r="AA5" s="526">
        <v>0</v>
      </c>
      <c r="AB5" s="534" t="s">
        <v>2023</v>
      </c>
      <c r="AC5" s="545" t="s">
        <v>2024</v>
      </c>
      <c r="AE5" s="521" t="s">
        <v>2025</v>
      </c>
      <c r="AF5" s="534" t="s">
        <v>2026</v>
      </c>
      <c r="AH5" s="524" t="str">
        <f>+X5</f>
        <v>Private car (CNG)</v>
      </c>
      <c r="AJ5" s="524" t="str">
        <f>+X5</f>
        <v>Private car (CNG)</v>
      </c>
      <c r="AL5" s="528">
        <v>12</v>
      </c>
      <c r="AN5" s="529" t="s">
        <v>2027</v>
      </c>
      <c r="AP5" s="530" t="s">
        <v>2028</v>
      </c>
      <c r="AR5" s="531" t="s">
        <v>2029</v>
      </c>
      <c r="AS5" s="517">
        <v>1</v>
      </c>
      <c r="AU5" s="528" t="s">
        <v>2030</v>
      </c>
      <c r="AW5" s="1395" t="s">
        <v>2379</v>
      </c>
      <c r="AX5" s="1394" t="s">
        <v>2086</v>
      </c>
      <c r="AY5" s="1396" t="s">
        <v>2167</v>
      </c>
      <c r="AZ5" s="1395">
        <v>598</v>
      </c>
      <c r="BA5" s="527" t="s">
        <v>1977</v>
      </c>
      <c r="BB5" s="535">
        <v>17.13</v>
      </c>
      <c r="BC5" s="534" t="s">
        <v>2006</v>
      </c>
      <c r="BD5" s="536"/>
      <c r="BE5" s="536"/>
      <c r="BF5" s="534"/>
      <c r="BG5" s="536"/>
      <c r="BH5" s="537">
        <f t="shared" si="1"/>
        <v>17</v>
      </c>
      <c r="BI5" s="537">
        <f t="shared" si="2"/>
        <v>5.0999999999999996</v>
      </c>
      <c r="BJ5" s="537">
        <f t="shared" si="3"/>
        <v>46.9</v>
      </c>
      <c r="BK5" s="537">
        <f t="shared" si="4"/>
        <v>2.4</v>
      </c>
      <c r="BL5" s="537">
        <f t="shared" si="5"/>
        <v>9.5</v>
      </c>
      <c r="BM5" s="537">
        <f t="shared" si="6"/>
        <v>5.6</v>
      </c>
      <c r="BN5" s="537">
        <f t="shared" si="7"/>
        <v>9.9</v>
      </c>
      <c r="BO5" s="537">
        <f t="shared" si="8"/>
        <v>3.5999999999999943</v>
      </c>
      <c r="BP5" s="537">
        <f t="shared" si="9"/>
        <v>100</v>
      </c>
      <c r="BQ5" s="534" t="s">
        <v>1979</v>
      </c>
      <c r="BR5" s="556">
        <v>8.8539999999999994E-2</v>
      </c>
      <c r="BS5" s="556">
        <v>8.8539999999999994E-2</v>
      </c>
      <c r="BT5" s="556">
        <v>1.719E-2</v>
      </c>
      <c r="BU5" s="556">
        <v>7.3859999999999995E-2</v>
      </c>
      <c r="BV5" s="556">
        <v>4.929E-2</v>
      </c>
      <c r="BW5" s="557" t="s">
        <v>2275</v>
      </c>
      <c r="BX5" s="534" t="s">
        <v>2276</v>
      </c>
      <c r="BZ5" s="538" t="s">
        <v>2033</v>
      </c>
      <c r="CA5" s="537">
        <v>12.9</v>
      </c>
      <c r="CB5" s="537">
        <v>2.7</v>
      </c>
      <c r="CC5" s="537">
        <v>43.5</v>
      </c>
      <c r="CD5" s="537">
        <v>9.9</v>
      </c>
      <c r="CE5" s="537">
        <v>9.5</v>
      </c>
      <c r="CF5" s="537">
        <v>5.6</v>
      </c>
      <c r="CG5" s="537">
        <v>7.2</v>
      </c>
      <c r="CH5" s="537">
        <f t="shared" si="13"/>
        <v>8.7000000000000028</v>
      </c>
      <c r="CI5" s="537">
        <f t="shared" si="14"/>
        <v>100</v>
      </c>
      <c r="CK5" s="539" t="str">
        <f>+'Results &amp; Summary'!B11</f>
        <v>Refrigerants and fire suppression</v>
      </c>
      <c r="CO5" s="508">
        <v>1</v>
      </c>
      <c r="CP5" s="508" t="s">
        <v>1982</v>
      </c>
      <c r="CQ5" s="540">
        <f>1/(+ROUND(1/0.001026,6)/10/CQ4)</f>
        <v>0.36228813574030932</v>
      </c>
      <c r="CR5" s="508" t="s">
        <v>15</v>
      </c>
      <c r="CS5" s="534" t="s">
        <v>1984</v>
      </c>
      <c r="CU5" s="508" t="s">
        <v>2009</v>
      </c>
      <c r="CV5" s="508" t="s">
        <v>1985</v>
      </c>
      <c r="CW5" s="508"/>
      <c r="CX5" s="508" t="s">
        <v>2034</v>
      </c>
      <c r="DF5" s="508" t="s">
        <v>1985</v>
      </c>
      <c r="DH5" s="539" t="str">
        <f t="shared" si="10"/>
        <v>Cuba</v>
      </c>
      <c r="DI5" s="539" t="str">
        <f t="shared" si="11"/>
        <v>Americas</v>
      </c>
      <c r="DJ5" s="539" t="str">
        <f t="shared" si="12"/>
        <v>Caribbean</v>
      </c>
      <c r="DL5" s="539" t="s">
        <v>35</v>
      </c>
      <c r="DN5" s="539" t="s">
        <v>2035</v>
      </c>
      <c r="DO5" s="539" t="s">
        <v>2036</v>
      </c>
      <c r="DQ5" s="539" t="s">
        <v>2037</v>
      </c>
      <c r="DS5" s="544" t="s">
        <v>11</v>
      </c>
      <c r="DT5" s="539" t="s">
        <v>2038</v>
      </c>
      <c r="DV5" s="539" t="s">
        <v>3295</v>
      </c>
    </row>
    <row r="6" spans="1:126" ht="25.5" customHeight="1">
      <c r="A6" s="517">
        <f>+A5+1</f>
        <v>2018</v>
      </c>
      <c r="C6" s="463" t="s">
        <v>2055</v>
      </c>
      <c r="D6" s="519"/>
      <c r="E6" s="731">
        <v>2590</v>
      </c>
      <c r="F6" s="520" t="s">
        <v>1994</v>
      </c>
      <c r="G6" s="521" t="s">
        <v>3280</v>
      </c>
      <c r="H6" s="770">
        <v>1.522</v>
      </c>
      <c r="I6" s="521" t="s">
        <v>2019</v>
      </c>
      <c r="J6" s="520"/>
      <c r="L6" s="522" t="s">
        <v>17</v>
      </c>
      <c r="M6" s="523" t="s">
        <v>1997</v>
      </c>
      <c r="N6" s="523">
        <v>0.74</v>
      </c>
      <c r="O6" s="523">
        <v>44.3</v>
      </c>
      <c r="P6" s="517">
        <v>69.3</v>
      </c>
      <c r="Q6" s="517">
        <v>0.01</v>
      </c>
      <c r="R6" s="517">
        <v>5.9999999999999995E-4</v>
      </c>
      <c r="S6" s="523">
        <v>69.3</v>
      </c>
      <c r="T6" s="523">
        <v>3.3000000000000002E-2</v>
      </c>
      <c r="U6" s="523">
        <v>3.2000000000000002E-3</v>
      </c>
      <c r="V6" s="523" t="s">
        <v>2040</v>
      </c>
      <c r="X6" s="524" t="s">
        <v>2041</v>
      </c>
      <c r="Y6" s="525">
        <f>296.36/1.9/1.08</f>
        <v>144.42495126705654</v>
      </c>
      <c r="Z6" s="546">
        <f>0.06/1.08/$E$3</f>
        <v>2.0350020350020349E-4</v>
      </c>
      <c r="AA6" s="546">
        <f>1.53/1.08/$E$4</f>
        <v>2.6283240568954853E-3</v>
      </c>
      <c r="AB6" s="527" t="s">
        <v>2042</v>
      </c>
      <c r="AC6" s="546"/>
      <c r="AH6" s="528" t="s">
        <v>2043</v>
      </c>
      <c r="AJ6" s="528" t="str">
        <f>+X9</f>
        <v>Bus</v>
      </c>
      <c r="AL6" s="528">
        <v>18</v>
      </c>
      <c r="AN6" s="529" t="s">
        <v>2044</v>
      </c>
      <c r="AP6" s="530" t="s">
        <v>2045</v>
      </c>
      <c r="AU6" s="528" t="s">
        <v>2046</v>
      </c>
      <c r="AW6" s="1395" t="s">
        <v>2383</v>
      </c>
      <c r="AX6" s="1394" t="s">
        <v>2086</v>
      </c>
      <c r="AY6" s="1396" t="s">
        <v>2167</v>
      </c>
      <c r="AZ6" s="1395">
        <v>466</v>
      </c>
      <c r="BA6" s="527" t="s">
        <v>1977</v>
      </c>
      <c r="BB6" s="535">
        <v>5.4123414965002699</v>
      </c>
      <c r="BC6" s="534" t="s">
        <v>2049</v>
      </c>
      <c r="BD6" s="536"/>
      <c r="BE6" s="536"/>
      <c r="BF6" s="534"/>
      <c r="BG6" s="536"/>
      <c r="BH6" s="537">
        <f t="shared" si="1"/>
        <v>17</v>
      </c>
      <c r="BI6" s="537">
        <f t="shared" si="2"/>
        <v>5.0999999999999996</v>
      </c>
      <c r="BJ6" s="537">
        <f t="shared" si="3"/>
        <v>46.9</v>
      </c>
      <c r="BK6" s="537">
        <f t="shared" si="4"/>
        <v>2.4</v>
      </c>
      <c r="BL6" s="537">
        <f t="shared" si="5"/>
        <v>9.5</v>
      </c>
      <c r="BM6" s="537">
        <f t="shared" si="6"/>
        <v>5.6</v>
      </c>
      <c r="BN6" s="537">
        <f t="shared" si="7"/>
        <v>9.9</v>
      </c>
      <c r="BO6" s="537">
        <f t="shared" si="8"/>
        <v>3.5999999999999943</v>
      </c>
      <c r="BP6" s="537">
        <f t="shared" si="9"/>
        <v>100</v>
      </c>
      <c r="BQ6" s="534" t="s">
        <v>1979</v>
      </c>
      <c r="BR6" s="556">
        <v>8.8539999999999994E-2</v>
      </c>
      <c r="BS6" s="556">
        <v>8.8539999999999994E-2</v>
      </c>
      <c r="BT6" s="556">
        <v>1.719E-2</v>
      </c>
      <c r="BU6" s="556">
        <v>7.3859999999999995E-2</v>
      </c>
      <c r="BV6" s="556">
        <v>4.929E-2</v>
      </c>
      <c r="BW6" s="557" t="s">
        <v>2275</v>
      </c>
      <c r="BX6" s="534" t="s">
        <v>2276</v>
      </c>
      <c r="BZ6" s="538" t="s">
        <v>2050</v>
      </c>
      <c r="CA6" s="537">
        <v>18</v>
      </c>
      <c r="CB6" s="537">
        <v>2.9</v>
      </c>
      <c r="CC6" s="537">
        <v>41.1</v>
      </c>
      <c r="CD6" s="537">
        <v>9.8000000000000007</v>
      </c>
      <c r="CE6" s="537">
        <v>9.5</v>
      </c>
      <c r="CF6" s="537">
        <v>5.6</v>
      </c>
      <c r="CG6" s="537">
        <v>6.3</v>
      </c>
      <c r="CH6" s="537">
        <f t="shared" si="13"/>
        <v>6.8000000000000114</v>
      </c>
      <c r="CI6" s="537">
        <f t="shared" si="14"/>
        <v>100</v>
      </c>
      <c r="CO6" s="508">
        <v>1</v>
      </c>
      <c r="CP6" s="508" t="s">
        <v>12</v>
      </c>
      <c r="CQ6" s="547">
        <v>2.2050000000000001</v>
      </c>
      <c r="CR6" s="508" t="s">
        <v>13</v>
      </c>
      <c r="CS6" s="534" t="s">
        <v>1984</v>
      </c>
      <c r="CU6" s="508" t="s">
        <v>2051</v>
      </c>
      <c r="CV6" s="508" t="s">
        <v>1982</v>
      </c>
      <c r="CW6" s="508"/>
      <c r="CX6" s="508"/>
      <c r="DH6" s="539" t="str">
        <f t="shared" si="10"/>
        <v>Curaçao (Netherlands)</v>
      </c>
      <c r="DI6" s="539" t="str">
        <f t="shared" si="11"/>
        <v>Americas</v>
      </c>
      <c r="DJ6" s="539" t="str">
        <f t="shared" si="12"/>
        <v>Caribbean</v>
      </c>
      <c r="DL6" s="539" t="s">
        <v>35</v>
      </c>
      <c r="DN6" s="539" t="s">
        <v>2052</v>
      </c>
      <c r="DO6" s="539" t="s">
        <v>2053</v>
      </c>
      <c r="DQ6" s="539" t="s">
        <v>10</v>
      </c>
      <c r="DS6" s="544" t="s">
        <v>2054</v>
      </c>
      <c r="DV6" s="539" t="s">
        <v>205</v>
      </c>
    </row>
    <row r="7" spans="1:126" ht="38.25" customHeight="1">
      <c r="A7" s="517">
        <f>+A6+1</f>
        <v>2019</v>
      </c>
      <c r="C7" s="463" t="s">
        <v>4369</v>
      </c>
      <c r="D7" s="519"/>
      <c r="E7" s="731">
        <v>1</v>
      </c>
      <c r="F7" s="520" t="s">
        <v>2079</v>
      </c>
      <c r="G7" s="521" t="s">
        <v>4368</v>
      </c>
      <c r="H7" s="770">
        <v>1.4650000000000001</v>
      </c>
      <c r="I7" s="521" t="s">
        <v>2019</v>
      </c>
      <c r="J7" s="520"/>
      <c r="L7" s="522" t="s">
        <v>2056</v>
      </c>
      <c r="M7" s="523" t="s">
        <v>12</v>
      </c>
      <c r="N7" s="523">
        <v>0.54</v>
      </c>
      <c r="O7" s="523">
        <v>47.3</v>
      </c>
      <c r="P7" s="517">
        <v>63.1</v>
      </c>
      <c r="Q7" s="517">
        <v>5.0000000000000001E-3</v>
      </c>
      <c r="R7" s="517">
        <v>1E-4</v>
      </c>
      <c r="S7" s="523">
        <v>63.1</v>
      </c>
      <c r="T7" s="523">
        <v>6.2E-2</v>
      </c>
      <c r="U7" s="523">
        <v>2.0000000000000001E-4</v>
      </c>
      <c r="V7" s="523"/>
      <c r="X7" s="524" t="s">
        <v>2057</v>
      </c>
      <c r="Y7" s="525">
        <f>168.85/1.9/1.08</f>
        <v>82.285575048732937</v>
      </c>
      <c r="Z7" s="546">
        <f>0.01/1.08/$E$3</f>
        <v>3.3916700583367251E-5</v>
      </c>
      <c r="AA7" s="546">
        <f>0.87/1.08/$E$4</f>
        <v>1.4945372088229229E-3</v>
      </c>
      <c r="AB7" s="527" t="s">
        <v>2042</v>
      </c>
      <c r="AC7" s="546"/>
      <c r="AH7" s="528" t="s">
        <v>9</v>
      </c>
      <c r="AJ7" s="524" t="str">
        <f t="shared" ref="AJ7:AJ13" si="15">+X11</f>
        <v>Private SUV or truck (diesel)</v>
      </c>
      <c r="AL7" s="528">
        <v>24</v>
      </c>
      <c r="AN7" s="529" t="s">
        <v>2058</v>
      </c>
      <c r="AP7" s="530" t="s">
        <v>2059</v>
      </c>
      <c r="AU7" s="528" t="s">
        <v>4399</v>
      </c>
      <c r="AW7" s="1395" t="s">
        <v>2403</v>
      </c>
      <c r="AX7" s="1394" t="s">
        <v>2086</v>
      </c>
      <c r="AY7" s="1396" t="s">
        <v>2167</v>
      </c>
      <c r="AZ7" s="1395">
        <v>551</v>
      </c>
      <c r="BA7" s="527" t="s">
        <v>1977</v>
      </c>
      <c r="BB7" s="535">
        <v>6.2171813834411278</v>
      </c>
      <c r="BC7" s="534" t="s">
        <v>2062</v>
      </c>
      <c r="BD7" s="536"/>
      <c r="BE7" s="536"/>
      <c r="BF7" s="534"/>
      <c r="BG7" s="536"/>
      <c r="BH7" s="537">
        <f t="shared" si="1"/>
        <v>17</v>
      </c>
      <c r="BI7" s="537">
        <f t="shared" si="2"/>
        <v>5.0999999999999996</v>
      </c>
      <c r="BJ7" s="537">
        <f t="shared" si="3"/>
        <v>46.9</v>
      </c>
      <c r="BK7" s="537">
        <f t="shared" si="4"/>
        <v>2.4</v>
      </c>
      <c r="BL7" s="537">
        <f t="shared" si="5"/>
        <v>9.5</v>
      </c>
      <c r="BM7" s="537">
        <f t="shared" si="6"/>
        <v>5.6</v>
      </c>
      <c r="BN7" s="537">
        <f t="shared" si="7"/>
        <v>9.9</v>
      </c>
      <c r="BO7" s="537">
        <f t="shared" si="8"/>
        <v>3.5999999999999943</v>
      </c>
      <c r="BP7" s="537">
        <f t="shared" si="9"/>
        <v>100</v>
      </c>
      <c r="BQ7" s="534" t="s">
        <v>1979</v>
      </c>
      <c r="BR7" s="556">
        <v>8.8539999999999994E-2</v>
      </c>
      <c r="BS7" s="556">
        <v>8.8539999999999994E-2</v>
      </c>
      <c r="BT7" s="556">
        <v>1.719E-2</v>
      </c>
      <c r="BU7" s="556">
        <v>7.3859999999999995E-2</v>
      </c>
      <c r="BV7" s="556">
        <v>4.929E-2</v>
      </c>
      <c r="BW7" s="557" t="s">
        <v>2275</v>
      </c>
      <c r="BX7" s="534" t="s">
        <v>2276</v>
      </c>
      <c r="BZ7" s="538" t="s">
        <v>2063</v>
      </c>
      <c r="CA7" s="537">
        <v>7.7</v>
      </c>
      <c r="CB7" s="537">
        <v>1.7</v>
      </c>
      <c r="CC7" s="537">
        <v>53.9</v>
      </c>
      <c r="CD7" s="537">
        <v>7</v>
      </c>
      <c r="CE7" s="537">
        <v>9.5</v>
      </c>
      <c r="CF7" s="537">
        <v>5.6</v>
      </c>
      <c r="CG7" s="537">
        <v>5.5</v>
      </c>
      <c r="CH7" s="537">
        <f t="shared" si="13"/>
        <v>9.1000000000000085</v>
      </c>
      <c r="CI7" s="537">
        <f t="shared" si="14"/>
        <v>100</v>
      </c>
      <c r="CK7" s="539" t="str">
        <f>+'Results &amp; Summary'!B26</f>
        <v>Fuel- &amp; energy-related emissions</v>
      </c>
      <c r="CO7" s="508">
        <v>1</v>
      </c>
      <c r="CP7" s="508" t="s">
        <v>12</v>
      </c>
      <c r="CQ7" s="508">
        <f>1/1000</f>
        <v>1E-3</v>
      </c>
      <c r="CR7" s="508" t="s">
        <v>2034</v>
      </c>
      <c r="CS7" s="534" t="s">
        <v>1984</v>
      </c>
      <c r="CU7" s="508" t="s">
        <v>2064</v>
      </c>
      <c r="CV7" s="508" t="s">
        <v>2010</v>
      </c>
      <c r="DH7" s="539" t="str">
        <f t="shared" si="10"/>
        <v>Dominica</v>
      </c>
      <c r="DI7" s="539" t="str">
        <f t="shared" si="11"/>
        <v>Americas</v>
      </c>
      <c r="DJ7" s="539" t="str">
        <f t="shared" si="12"/>
        <v>Caribbean</v>
      </c>
      <c r="DL7" s="539" t="s">
        <v>35</v>
      </c>
      <c r="DN7" s="539" t="s">
        <v>2065</v>
      </c>
      <c r="DO7" s="539" t="s">
        <v>2066</v>
      </c>
      <c r="DQ7" s="539" t="s">
        <v>2067</v>
      </c>
    </row>
    <row r="8" spans="1:126" ht="38.25" customHeight="1">
      <c r="A8" s="517">
        <f t="shared" ref="A8:A13" si="16">+A7+1</f>
        <v>2020</v>
      </c>
      <c r="C8" s="463" t="s">
        <v>4370</v>
      </c>
      <c r="D8" s="519"/>
      <c r="E8" s="731">
        <v>3.88</v>
      </c>
      <c r="F8" s="520" t="s">
        <v>2079</v>
      </c>
      <c r="G8" s="521" t="s">
        <v>4368</v>
      </c>
      <c r="H8" s="542">
        <v>1.8720000000000001</v>
      </c>
      <c r="I8" s="521" t="s">
        <v>2068</v>
      </c>
      <c r="J8" s="520" t="s">
        <v>1996</v>
      </c>
      <c r="L8" s="522" t="s">
        <v>2069</v>
      </c>
      <c r="M8" s="523" t="s">
        <v>1997</v>
      </c>
      <c r="N8" s="523">
        <v>0.8</v>
      </c>
      <c r="O8" s="523">
        <v>43.8</v>
      </c>
      <c r="P8" s="517">
        <v>71.900000000000006</v>
      </c>
      <c r="Q8" s="517">
        <v>0.01</v>
      </c>
      <c r="R8" s="517">
        <v>5.9999999999999995E-4</v>
      </c>
      <c r="S8" s="517" t="s">
        <v>1966</v>
      </c>
      <c r="T8" s="517" t="s">
        <v>1966</v>
      </c>
      <c r="U8" s="517" t="s">
        <v>1966</v>
      </c>
      <c r="V8" s="523" t="s">
        <v>2070</v>
      </c>
      <c r="X8" s="524" t="s">
        <v>2071</v>
      </c>
      <c r="Y8" s="525">
        <f>197.09/1.9/1.08</f>
        <v>96.047758284600391</v>
      </c>
      <c r="Z8" s="546">
        <f>0.01/1.08/$E$3</f>
        <v>3.3916700583367251E-5</v>
      </c>
      <c r="AA8" s="546">
        <f>1.03/1.08/$E$4</f>
        <v>1.7693946265374837E-3</v>
      </c>
      <c r="AB8" s="527" t="s">
        <v>2042</v>
      </c>
      <c r="AC8" s="546"/>
      <c r="AH8" s="524" t="str">
        <f t="shared" ref="AH8:AH14" si="17">+X11</f>
        <v>Private SUV or truck (diesel)</v>
      </c>
      <c r="AJ8" s="524" t="str">
        <f t="shared" si="15"/>
        <v>Private SUV (gasolina)</v>
      </c>
      <c r="AN8" s="529" t="s">
        <v>1791</v>
      </c>
      <c r="AP8" s="530" t="s">
        <v>2072</v>
      </c>
      <c r="AU8" s="528" t="s">
        <v>2060</v>
      </c>
      <c r="AW8" s="1395" t="s">
        <v>2407</v>
      </c>
      <c r="AX8" s="1394" t="s">
        <v>2086</v>
      </c>
      <c r="AY8" s="1396" t="s">
        <v>2167</v>
      </c>
      <c r="AZ8" s="1395">
        <v>460</v>
      </c>
      <c r="BA8" s="527" t="s">
        <v>1977</v>
      </c>
      <c r="BB8" s="535">
        <v>11.27</v>
      </c>
      <c r="BC8" s="534" t="s">
        <v>2006</v>
      </c>
      <c r="BD8" s="536"/>
      <c r="BE8" s="536"/>
      <c r="BF8" s="534"/>
      <c r="BG8" s="536"/>
      <c r="BH8" s="537">
        <f t="shared" si="1"/>
        <v>17</v>
      </c>
      <c r="BI8" s="537">
        <f t="shared" si="2"/>
        <v>5.0999999999999996</v>
      </c>
      <c r="BJ8" s="537">
        <f t="shared" si="3"/>
        <v>46.9</v>
      </c>
      <c r="BK8" s="537">
        <f t="shared" si="4"/>
        <v>2.4</v>
      </c>
      <c r="BL8" s="537">
        <f t="shared" si="5"/>
        <v>9.5</v>
      </c>
      <c r="BM8" s="537">
        <f t="shared" si="6"/>
        <v>5.6</v>
      </c>
      <c r="BN8" s="537">
        <f t="shared" si="7"/>
        <v>9.9</v>
      </c>
      <c r="BO8" s="537">
        <f t="shared" si="8"/>
        <v>3.5999999999999943</v>
      </c>
      <c r="BP8" s="537">
        <f t="shared" si="9"/>
        <v>100</v>
      </c>
      <c r="BQ8" s="534" t="s">
        <v>1979</v>
      </c>
      <c r="BR8" s="556">
        <v>8.8539999999999994E-2</v>
      </c>
      <c r="BS8" s="556">
        <v>8.8539999999999994E-2</v>
      </c>
      <c r="BT8" s="556">
        <v>1.719E-2</v>
      </c>
      <c r="BU8" s="556">
        <v>7.3859999999999995E-2</v>
      </c>
      <c r="BV8" s="556">
        <v>4.929E-2</v>
      </c>
      <c r="BW8" s="557" t="s">
        <v>2275</v>
      </c>
      <c r="BX8" s="534" t="s">
        <v>2276</v>
      </c>
      <c r="BZ8" s="538" t="s">
        <v>2075</v>
      </c>
      <c r="CA8" s="537">
        <v>16.8</v>
      </c>
      <c r="CB8" s="537">
        <v>2.5</v>
      </c>
      <c r="CC8" s="537">
        <v>43.4</v>
      </c>
      <c r="CD8" s="537">
        <v>6.5</v>
      </c>
      <c r="CE8" s="537">
        <v>9.5</v>
      </c>
      <c r="CF8" s="537">
        <v>5.6</v>
      </c>
      <c r="CG8" s="537">
        <v>4.5</v>
      </c>
      <c r="CH8" s="537">
        <f t="shared" si="13"/>
        <v>11.200000000000003</v>
      </c>
      <c r="CI8" s="537">
        <f t="shared" si="14"/>
        <v>100</v>
      </c>
      <c r="CO8" s="508">
        <v>1</v>
      </c>
      <c r="CP8" s="508" t="s">
        <v>1985</v>
      </c>
      <c r="CQ8" s="547">
        <v>0.26419999999999999</v>
      </c>
      <c r="CR8" s="508" t="s">
        <v>14</v>
      </c>
      <c r="CS8" s="534" t="s">
        <v>1984</v>
      </c>
      <c r="CU8" s="508" t="s">
        <v>2076</v>
      </c>
      <c r="DH8" s="539" t="str">
        <f t="shared" si="10"/>
        <v>Dominican Republic</v>
      </c>
      <c r="DI8" s="539" t="str">
        <f t="shared" si="11"/>
        <v>Americas</v>
      </c>
      <c r="DJ8" s="539" t="str">
        <f t="shared" si="12"/>
        <v>Caribbean</v>
      </c>
      <c r="DL8" s="539" t="s">
        <v>35</v>
      </c>
      <c r="DN8" s="539" t="s">
        <v>2077</v>
      </c>
      <c r="DO8" s="539" t="s">
        <v>2078</v>
      </c>
      <c r="DQ8" s="539" t="s">
        <v>1952</v>
      </c>
    </row>
    <row r="9" spans="1:126" ht="25.5">
      <c r="A9" s="517">
        <f t="shared" si="16"/>
        <v>2021</v>
      </c>
      <c r="C9" s="463" t="s">
        <v>4371</v>
      </c>
      <c r="D9" s="519"/>
      <c r="E9" s="731">
        <v>3740</v>
      </c>
      <c r="F9" s="520" t="s">
        <v>2079</v>
      </c>
      <c r="G9" s="521" t="s">
        <v>4368</v>
      </c>
      <c r="H9" s="520"/>
      <c r="I9" s="521"/>
      <c r="J9" s="520"/>
      <c r="L9" s="522" t="s">
        <v>19</v>
      </c>
      <c r="M9" s="523" t="s">
        <v>12</v>
      </c>
      <c r="N9" s="517" t="s">
        <v>1966</v>
      </c>
      <c r="O9" s="523">
        <v>25.8</v>
      </c>
      <c r="P9" s="517">
        <v>94.6</v>
      </c>
      <c r="Q9" s="517">
        <v>1E-3</v>
      </c>
      <c r="R9" s="517">
        <v>1.5E-3</v>
      </c>
      <c r="S9" s="517" t="s">
        <v>1966</v>
      </c>
      <c r="T9" s="517" t="s">
        <v>1966</v>
      </c>
      <c r="U9" s="517" t="s">
        <v>1966</v>
      </c>
      <c r="V9" s="523" t="s">
        <v>2080</v>
      </c>
      <c r="X9" s="524" t="s">
        <v>9</v>
      </c>
      <c r="Y9" s="525">
        <v>157.26</v>
      </c>
      <c r="Z9" s="546">
        <v>9.5200000000000007E-3</v>
      </c>
      <c r="AA9" s="546">
        <v>4.1000000000000003E-3</v>
      </c>
      <c r="AB9" s="527" t="s">
        <v>2081</v>
      </c>
      <c r="AC9" s="546"/>
      <c r="AH9" s="524" t="str">
        <f t="shared" si="17"/>
        <v>Private SUV (gasolina)</v>
      </c>
      <c r="AJ9" s="524" t="str">
        <f t="shared" si="15"/>
        <v>Private SUC or truck (CNG)</v>
      </c>
      <c r="AN9" s="529" t="s">
        <v>2082</v>
      </c>
      <c r="AP9" s="530" t="s">
        <v>2083</v>
      </c>
      <c r="AU9" s="528" t="s">
        <v>2073</v>
      </c>
      <c r="AW9" s="1395" t="s">
        <v>2488</v>
      </c>
      <c r="AX9" s="1394" t="s">
        <v>2086</v>
      </c>
      <c r="AY9" s="1396" t="s">
        <v>2167</v>
      </c>
      <c r="AZ9" s="1395">
        <v>557</v>
      </c>
      <c r="BA9" s="527" t="s">
        <v>1977</v>
      </c>
      <c r="BB9" s="535">
        <v>9.3894684857089938</v>
      </c>
      <c r="BC9" s="534" t="s">
        <v>2087</v>
      </c>
      <c r="BD9" s="536"/>
      <c r="BE9" s="536"/>
      <c r="BF9" s="534"/>
      <c r="BG9" s="536"/>
      <c r="BH9" s="537">
        <f t="shared" si="1"/>
        <v>17</v>
      </c>
      <c r="BI9" s="537">
        <f t="shared" si="2"/>
        <v>5.0999999999999996</v>
      </c>
      <c r="BJ9" s="537">
        <f t="shared" si="3"/>
        <v>46.9</v>
      </c>
      <c r="BK9" s="537">
        <f t="shared" si="4"/>
        <v>2.4</v>
      </c>
      <c r="BL9" s="537">
        <f t="shared" si="5"/>
        <v>9.5</v>
      </c>
      <c r="BM9" s="537">
        <f t="shared" si="6"/>
        <v>5.6</v>
      </c>
      <c r="BN9" s="537">
        <f t="shared" si="7"/>
        <v>9.9</v>
      </c>
      <c r="BO9" s="537">
        <f t="shared" si="8"/>
        <v>3.5999999999999943</v>
      </c>
      <c r="BP9" s="537">
        <f t="shared" ref="BP9:BP67" si="18">+SUM(BH9:BO9)</f>
        <v>100</v>
      </c>
      <c r="BQ9" s="534" t="s">
        <v>1979</v>
      </c>
      <c r="BR9" s="556">
        <v>8.8539999999999994E-2</v>
      </c>
      <c r="BS9" s="556">
        <v>8.8539999999999994E-2</v>
      </c>
      <c r="BT9" s="556">
        <v>1.719E-2</v>
      </c>
      <c r="BU9" s="556">
        <v>7.3859999999999995E-2</v>
      </c>
      <c r="BV9" s="556">
        <v>4.929E-2</v>
      </c>
      <c r="BW9" s="557" t="s">
        <v>2275</v>
      </c>
      <c r="BX9" s="534" t="s">
        <v>2276</v>
      </c>
      <c r="BZ9" s="538" t="s">
        <v>2088</v>
      </c>
      <c r="CA9" s="537">
        <v>16.5</v>
      </c>
      <c r="CB9" s="537">
        <v>2.5</v>
      </c>
      <c r="CC9" s="537">
        <v>51.1</v>
      </c>
      <c r="CD9" s="537">
        <v>2</v>
      </c>
      <c r="CE9" s="537">
        <v>9.5</v>
      </c>
      <c r="CF9" s="537">
        <v>5.6</v>
      </c>
      <c r="CG9" s="537">
        <v>4.5</v>
      </c>
      <c r="CH9" s="537">
        <f t="shared" si="13"/>
        <v>8.3000000000000114</v>
      </c>
      <c r="CI9" s="537">
        <f t="shared" si="14"/>
        <v>100</v>
      </c>
      <c r="CK9" s="539" t="str">
        <f>+'Results &amp; Summary'!B35</f>
        <v>End-of-life treatment of sold products</v>
      </c>
      <c r="CO9" s="508">
        <v>1</v>
      </c>
      <c r="CP9" s="508" t="s">
        <v>1982</v>
      </c>
      <c r="CQ9" s="543">
        <v>2.8316849999999998</v>
      </c>
      <c r="CR9" s="508" t="s">
        <v>2064</v>
      </c>
      <c r="CS9" s="534" t="s">
        <v>1984</v>
      </c>
      <c r="DH9" s="539" t="str">
        <f t="shared" si="10"/>
        <v>Grenada</v>
      </c>
      <c r="DI9" s="539" t="str">
        <f t="shared" si="11"/>
        <v>Americas</v>
      </c>
      <c r="DJ9" s="539" t="str">
        <f t="shared" si="12"/>
        <v>Caribbean</v>
      </c>
      <c r="DL9" s="539" t="s">
        <v>35</v>
      </c>
      <c r="DN9" s="539" t="s">
        <v>2090</v>
      </c>
      <c r="DO9" s="539" t="s">
        <v>2091</v>
      </c>
      <c r="DQ9" s="539" t="s">
        <v>2092</v>
      </c>
    </row>
    <row r="10" spans="1:126" ht="25.5">
      <c r="A10" s="517">
        <f t="shared" si="16"/>
        <v>2022</v>
      </c>
      <c r="C10" s="463" t="s">
        <v>4372</v>
      </c>
      <c r="D10" s="519"/>
      <c r="E10" s="731">
        <v>1260</v>
      </c>
      <c r="F10" s="520" t="s">
        <v>2079</v>
      </c>
      <c r="G10" s="521" t="s">
        <v>4368</v>
      </c>
      <c r="H10" s="520"/>
      <c r="I10" s="521"/>
      <c r="J10" s="520"/>
      <c r="L10" s="522" t="s">
        <v>30</v>
      </c>
      <c r="M10" s="523" t="s">
        <v>12</v>
      </c>
      <c r="N10" s="517" t="s">
        <v>1966</v>
      </c>
      <c r="O10" s="523">
        <v>15.6</v>
      </c>
      <c r="P10" s="728">
        <v>112</v>
      </c>
      <c r="Q10" s="517">
        <v>0.3</v>
      </c>
      <c r="R10" s="517">
        <v>4.0000000000000001E-3</v>
      </c>
      <c r="S10" s="517" t="s">
        <v>1966</v>
      </c>
      <c r="T10" s="517" t="s">
        <v>1966</v>
      </c>
      <c r="U10" s="517" t="s">
        <v>1966</v>
      </c>
      <c r="V10" s="523" t="s">
        <v>2093</v>
      </c>
      <c r="X10" s="524" t="s">
        <v>2094</v>
      </c>
      <c r="Y10" s="525">
        <v>30</v>
      </c>
      <c r="Z10" s="546">
        <v>3.81E-3</v>
      </c>
      <c r="AA10" s="546">
        <v>1.8E-3</v>
      </c>
      <c r="AB10" s="527" t="s">
        <v>2081</v>
      </c>
      <c r="AC10" s="546"/>
      <c r="AH10" s="524" t="str">
        <f t="shared" si="17"/>
        <v>Private SUC or truck (CNG)</v>
      </c>
      <c r="AJ10" s="528" t="str">
        <f t="shared" si="15"/>
        <v>Subway</v>
      </c>
      <c r="AN10" s="529" t="s">
        <v>2095</v>
      </c>
      <c r="AU10" s="528" t="s">
        <v>2084</v>
      </c>
      <c r="AW10" s="1395" t="s">
        <v>2492</v>
      </c>
      <c r="AX10" s="1394" t="s">
        <v>2086</v>
      </c>
      <c r="AY10" s="1396" t="s">
        <v>2167</v>
      </c>
      <c r="AZ10" s="1395">
        <v>454</v>
      </c>
      <c r="BA10" s="527" t="s">
        <v>1977</v>
      </c>
      <c r="BB10" s="535">
        <v>9.3894684857089938</v>
      </c>
      <c r="BC10" s="534" t="s">
        <v>2087</v>
      </c>
      <c r="BD10" s="536"/>
      <c r="BE10" s="536"/>
      <c r="BF10" s="534"/>
      <c r="BG10" s="536"/>
      <c r="BH10" s="537">
        <f t="shared" si="1"/>
        <v>17</v>
      </c>
      <c r="BI10" s="537">
        <f t="shared" si="2"/>
        <v>5.0999999999999996</v>
      </c>
      <c r="BJ10" s="537">
        <f t="shared" si="3"/>
        <v>46.9</v>
      </c>
      <c r="BK10" s="537">
        <f t="shared" si="4"/>
        <v>2.4</v>
      </c>
      <c r="BL10" s="537">
        <f t="shared" si="5"/>
        <v>9.5</v>
      </c>
      <c r="BM10" s="537">
        <f t="shared" si="6"/>
        <v>5.6</v>
      </c>
      <c r="BN10" s="537">
        <f t="shared" si="7"/>
        <v>9.9</v>
      </c>
      <c r="BO10" s="537">
        <f t="shared" si="8"/>
        <v>3.5999999999999943</v>
      </c>
      <c r="BP10" s="537">
        <f t="shared" si="18"/>
        <v>100</v>
      </c>
      <c r="BQ10" s="534" t="s">
        <v>1979</v>
      </c>
      <c r="BR10" s="556">
        <v>8.8539999999999994E-2</v>
      </c>
      <c r="BS10" s="556">
        <v>8.8539999999999994E-2</v>
      </c>
      <c r="BT10" s="556">
        <v>1.719E-2</v>
      </c>
      <c r="BU10" s="556">
        <v>7.3859999999999995E-2</v>
      </c>
      <c r="BV10" s="556">
        <v>4.929E-2</v>
      </c>
      <c r="BW10" s="557" t="s">
        <v>2275</v>
      </c>
      <c r="BX10" s="534" t="s">
        <v>2276</v>
      </c>
      <c r="BZ10" s="538" t="s">
        <v>2098</v>
      </c>
      <c r="CA10" s="537">
        <v>25</v>
      </c>
      <c r="CB10" s="537">
        <f>+(100-$CA10-$CC10-$CD10-$CE10-$CF10)/3</f>
        <v>7.3</v>
      </c>
      <c r="CC10" s="537">
        <v>23</v>
      </c>
      <c r="CD10" s="537">
        <v>15</v>
      </c>
      <c r="CE10" s="537">
        <v>9.5</v>
      </c>
      <c r="CF10" s="537">
        <v>5.6</v>
      </c>
      <c r="CG10" s="537">
        <f>+(100-$CA10-$CC10-$CD10-$CE10-$CF10)/3</f>
        <v>7.3</v>
      </c>
      <c r="CH10" s="537">
        <f>+(100-$CA10-$CC10-$CD10-$CE10-$CF10)/3</f>
        <v>7.3</v>
      </c>
      <c r="CI10" s="537">
        <f t="shared" si="14"/>
        <v>99.999999999999986</v>
      </c>
      <c r="CK10" s="539" t="e">
        <f>+'Scope 1 and 2 Data'!#REF!</f>
        <v>#REF!</v>
      </c>
      <c r="CO10" s="508">
        <v>1</v>
      </c>
      <c r="CP10" s="508" t="s">
        <v>1982</v>
      </c>
      <c r="CQ10" s="543">
        <v>28.316849999999999</v>
      </c>
      <c r="CR10" s="508" t="s">
        <v>2076</v>
      </c>
      <c r="CS10" s="534" t="s">
        <v>1984</v>
      </c>
      <c r="DH10" s="539" t="str">
        <f t="shared" si="10"/>
        <v>Guadeloupe (France)</v>
      </c>
      <c r="DI10" s="539" t="str">
        <f t="shared" si="11"/>
        <v>Americas</v>
      </c>
      <c r="DJ10" s="539" t="str">
        <f t="shared" si="12"/>
        <v>Caribbean</v>
      </c>
      <c r="DL10" s="539" t="s">
        <v>35</v>
      </c>
      <c r="DN10" s="539" t="s">
        <v>2099</v>
      </c>
      <c r="DO10" s="539" t="s">
        <v>2100</v>
      </c>
    </row>
    <row r="11" spans="1:126" ht="25.5">
      <c r="A11" s="517">
        <f t="shared" si="16"/>
        <v>2023</v>
      </c>
      <c r="C11" s="463" t="s">
        <v>4373</v>
      </c>
      <c r="D11" s="519"/>
      <c r="E11" s="731">
        <v>1530</v>
      </c>
      <c r="F11" s="520" t="s">
        <v>2079</v>
      </c>
      <c r="G11" s="521" t="s">
        <v>4368</v>
      </c>
      <c r="H11" s="520"/>
      <c r="I11" s="521"/>
      <c r="J11" s="520"/>
      <c r="L11" s="522" t="s">
        <v>18</v>
      </c>
      <c r="M11" s="523" t="s">
        <v>1997</v>
      </c>
      <c r="N11" s="523">
        <v>0.88</v>
      </c>
      <c r="O11" s="523">
        <v>27</v>
      </c>
      <c r="P11" s="517">
        <v>70.8</v>
      </c>
      <c r="Q11" s="517">
        <v>0.01</v>
      </c>
      <c r="R11" s="517">
        <v>5.9999999999999995E-4</v>
      </c>
      <c r="S11" s="517">
        <v>0</v>
      </c>
      <c r="T11" s="523">
        <v>3.8999999999999998E-3</v>
      </c>
      <c r="U11" s="523">
        <v>3.8999999999999998E-3</v>
      </c>
      <c r="X11" s="524" t="s">
        <v>2101</v>
      </c>
      <c r="Y11" s="525">
        <f>626.5/$Y$25</f>
        <v>389.29001951110394</v>
      </c>
      <c r="Z11" s="546">
        <f>0.001/$Y$25</f>
        <v>6.2137273664980672E-4</v>
      </c>
      <c r="AA11" s="546">
        <f>0.0015/$Y$25</f>
        <v>9.3205910497471019E-4</v>
      </c>
      <c r="AB11" s="527" t="s">
        <v>1970</v>
      </c>
      <c r="AC11" s="546"/>
      <c r="AH11" s="528" t="str">
        <f t="shared" si="17"/>
        <v>Subway</v>
      </c>
      <c r="AJ11" s="528" t="str">
        <f t="shared" si="15"/>
        <v>Motorbike</v>
      </c>
      <c r="AN11" s="529" t="s">
        <v>2102</v>
      </c>
      <c r="AU11" s="528" t="s">
        <v>2096</v>
      </c>
      <c r="AW11" s="1395" t="s">
        <v>2515</v>
      </c>
      <c r="AX11" s="1394" t="s">
        <v>2086</v>
      </c>
      <c r="AY11" s="1396" t="s">
        <v>2167</v>
      </c>
      <c r="AZ11" s="1395">
        <v>703</v>
      </c>
      <c r="BA11" s="527" t="s">
        <v>1977</v>
      </c>
      <c r="BB11" s="551">
        <v>14.66</v>
      </c>
      <c r="BC11" s="534" t="s">
        <v>2006</v>
      </c>
      <c r="BD11" s="548">
        <v>9.7000000000000003E-2</v>
      </c>
      <c r="BE11" s="548">
        <v>0.112</v>
      </c>
      <c r="BF11" s="534" t="s">
        <v>2106</v>
      </c>
      <c r="BG11" s="536"/>
      <c r="BH11" s="517">
        <v>13.99</v>
      </c>
      <c r="BI11" s="517">
        <v>3.08</v>
      </c>
      <c r="BJ11" s="517">
        <v>49.94</v>
      </c>
      <c r="BK11" s="517">
        <v>0.64</v>
      </c>
      <c r="BL11" s="517">
        <v>11.05</v>
      </c>
      <c r="BM11" s="517">
        <v>5.75</v>
      </c>
      <c r="BN11" s="517"/>
      <c r="BO11" s="517">
        <f>100-SUM(BH11:BN11)</f>
        <v>15.550000000000011</v>
      </c>
      <c r="BP11" s="537">
        <f t="shared" si="18"/>
        <v>100</v>
      </c>
      <c r="BQ11" s="534" t="s">
        <v>2107</v>
      </c>
      <c r="BR11" s="556">
        <v>8.8539999999999994E-2</v>
      </c>
      <c r="BS11" s="556">
        <v>8.8539999999999994E-2</v>
      </c>
      <c r="BT11" s="556">
        <v>1.719E-2</v>
      </c>
      <c r="BU11" s="556">
        <v>7.3859999999999995E-2</v>
      </c>
      <c r="BV11" s="556">
        <v>4.929E-2</v>
      </c>
      <c r="BW11" s="557" t="s">
        <v>2275</v>
      </c>
      <c r="BX11" s="534" t="s">
        <v>2276</v>
      </c>
      <c r="BZ11" s="538" t="s">
        <v>2108</v>
      </c>
      <c r="CA11" s="537">
        <v>9.8000000000000007</v>
      </c>
      <c r="CB11" s="537">
        <v>1</v>
      </c>
      <c r="CC11" s="537">
        <v>40.4</v>
      </c>
      <c r="CD11" s="537">
        <v>4.4000000000000004</v>
      </c>
      <c r="CE11" s="537">
        <v>9.5</v>
      </c>
      <c r="CF11" s="537">
        <v>5.6</v>
      </c>
      <c r="CG11" s="537">
        <v>3</v>
      </c>
      <c r="CH11" s="537">
        <f t="shared" si="13"/>
        <v>26.300000000000011</v>
      </c>
      <c r="CI11" s="537">
        <f t="shared" si="14"/>
        <v>100</v>
      </c>
      <c r="CK11" s="539" t="str">
        <f>+'Results &amp; Summary'!B12</f>
        <v>Inhaled anesthetic gases</v>
      </c>
      <c r="CO11" s="508">
        <v>1</v>
      </c>
      <c r="CP11" s="508" t="s">
        <v>12</v>
      </c>
      <c r="CQ11" s="549">
        <f>1/$N$7/1000</f>
        <v>1.8518518518518517E-3</v>
      </c>
      <c r="CR11" s="508" t="s">
        <v>1982</v>
      </c>
      <c r="CS11" s="534" t="s">
        <v>2089</v>
      </c>
      <c r="DH11" s="539" t="str">
        <f t="shared" si="10"/>
        <v>Haiti</v>
      </c>
      <c r="DI11" s="539" t="str">
        <f t="shared" si="11"/>
        <v>Americas</v>
      </c>
      <c r="DJ11" s="539" t="str">
        <f t="shared" si="12"/>
        <v>Caribbean</v>
      </c>
      <c r="DL11" s="539" t="s">
        <v>35</v>
      </c>
      <c r="DN11" s="539" t="s">
        <v>2109</v>
      </c>
      <c r="DO11" s="539" t="s">
        <v>2110</v>
      </c>
    </row>
    <row r="12" spans="1:126" ht="25.5">
      <c r="A12" s="517">
        <f t="shared" si="16"/>
        <v>2024</v>
      </c>
      <c r="C12" s="463" t="s">
        <v>4374</v>
      </c>
      <c r="D12" s="519"/>
      <c r="E12" s="731">
        <v>364</v>
      </c>
      <c r="F12" s="520" t="s">
        <v>2079</v>
      </c>
      <c r="G12" s="521" t="s">
        <v>4368</v>
      </c>
      <c r="H12" s="520"/>
      <c r="I12" s="521"/>
      <c r="J12" s="520"/>
      <c r="L12" s="528" t="s">
        <v>2111</v>
      </c>
      <c r="M12" s="523" t="s">
        <v>1997</v>
      </c>
      <c r="N12" s="523">
        <v>0.79200000000000004</v>
      </c>
      <c r="O12" s="523">
        <v>27</v>
      </c>
      <c r="P12" s="517">
        <v>70.8</v>
      </c>
      <c r="Q12" s="517">
        <v>0.01</v>
      </c>
      <c r="R12" s="517">
        <v>5.9999999999999995E-4</v>
      </c>
      <c r="S12" s="517">
        <v>0</v>
      </c>
      <c r="T12" s="523">
        <v>3.3000000000000002E-2</v>
      </c>
      <c r="U12" s="523">
        <v>3.2000000000000002E-3</v>
      </c>
      <c r="V12" s="523" t="s">
        <v>2112</v>
      </c>
      <c r="X12" s="524" t="s">
        <v>2113</v>
      </c>
      <c r="Y12" s="525">
        <f>543.8/$Y$25</f>
        <v>337.90249419016487</v>
      </c>
      <c r="Z12" s="526">
        <f>0.0157/$Y$25</f>
        <v>9.7555519654019644E-3</v>
      </c>
      <c r="AA12" s="526">
        <f>0.0101/$Y$25</f>
        <v>6.2758646401630484E-3</v>
      </c>
      <c r="AB12" s="527" t="s">
        <v>1970</v>
      </c>
      <c r="AC12" s="526"/>
      <c r="AH12" s="528" t="str">
        <f t="shared" si="17"/>
        <v>Motorbike</v>
      </c>
      <c r="AJ12" s="528" t="str">
        <f t="shared" si="15"/>
        <v>Taxi</v>
      </c>
      <c r="AN12" s="529" t="s">
        <v>2114</v>
      </c>
      <c r="AU12" s="528" t="s">
        <v>2103</v>
      </c>
      <c r="AW12" s="1395" t="s">
        <v>2559</v>
      </c>
      <c r="AX12" s="1394" t="s">
        <v>2086</v>
      </c>
      <c r="AY12" s="1396" t="s">
        <v>2167</v>
      </c>
      <c r="AZ12" s="1395">
        <v>543</v>
      </c>
      <c r="BA12" s="527" t="s">
        <v>1977</v>
      </c>
      <c r="BB12" s="535">
        <v>11.99</v>
      </c>
      <c r="BC12" s="534" t="s">
        <v>2006</v>
      </c>
      <c r="BD12" s="536"/>
      <c r="BE12" s="536"/>
      <c r="BF12" s="534"/>
      <c r="BG12" s="536"/>
      <c r="BH12" s="537">
        <f t="shared" ref="BH12:BH43" si="19">+VLOOKUP($AY12,$BZ$3:$CH$21,2,FALSE)</f>
        <v>17</v>
      </c>
      <c r="BI12" s="537">
        <f t="shared" ref="BI12:BI43" si="20">+VLOOKUP($AY12,$BZ$3:$CH$21,3,FALSE)</f>
        <v>5.0999999999999996</v>
      </c>
      <c r="BJ12" s="537">
        <f t="shared" ref="BJ12:BJ43" si="21">+VLOOKUP($AY12,$BZ$3:$CH$21,4,FALSE)</f>
        <v>46.9</v>
      </c>
      <c r="BK12" s="537">
        <f t="shared" ref="BK12:BK43" si="22">+VLOOKUP($AY12,$BZ$3:$CH$21,5,FALSE)</f>
        <v>2.4</v>
      </c>
      <c r="BL12" s="537">
        <f t="shared" ref="BL12:BL43" si="23">+VLOOKUP($AY12,$BZ$3:$CH$21,6,FALSE)</f>
        <v>9.5</v>
      </c>
      <c r="BM12" s="537">
        <f t="shared" ref="BM12:BM43" si="24">+VLOOKUP($AY12,$BZ$3:$CH$21,7,FALSE)</f>
        <v>5.6</v>
      </c>
      <c r="BN12" s="537">
        <f t="shared" ref="BN12:BN43" si="25">+VLOOKUP($AY12,$BZ$3:$CH$21,8,FALSE)</f>
        <v>9.9</v>
      </c>
      <c r="BO12" s="537">
        <f t="shared" ref="BO12:BO43" si="26">+VLOOKUP($AY12,$BZ$3:$CH$21,9,FALSE)</f>
        <v>3.5999999999999943</v>
      </c>
      <c r="BP12" s="537">
        <f t="shared" si="18"/>
        <v>100</v>
      </c>
      <c r="BQ12" s="534" t="s">
        <v>1979</v>
      </c>
      <c r="BR12" s="556">
        <v>8.8539999999999994E-2</v>
      </c>
      <c r="BS12" s="556">
        <v>8.8539999999999994E-2</v>
      </c>
      <c r="BT12" s="556">
        <v>1.719E-2</v>
      </c>
      <c r="BU12" s="556">
        <v>7.3859999999999995E-2</v>
      </c>
      <c r="BV12" s="556">
        <v>4.929E-2</v>
      </c>
      <c r="BW12" s="557" t="s">
        <v>2275</v>
      </c>
      <c r="BX12" s="534" t="s">
        <v>2276</v>
      </c>
      <c r="BZ12" s="538" t="s">
        <v>2116</v>
      </c>
      <c r="CA12" s="537">
        <v>21.8</v>
      </c>
      <c r="CB12" s="537">
        <v>4.7</v>
      </c>
      <c r="CC12" s="537">
        <v>30.1</v>
      </c>
      <c r="CD12" s="537">
        <v>7.5</v>
      </c>
      <c r="CE12" s="537">
        <v>9.5</v>
      </c>
      <c r="CF12" s="537">
        <v>5.6</v>
      </c>
      <c r="CG12" s="537">
        <v>6.2</v>
      </c>
      <c r="CH12" s="537">
        <f t="shared" si="13"/>
        <v>14.600000000000009</v>
      </c>
      <c r="CI12" s="537">
        <f t="shared" si="14"/>
        <v>100</v>
      </c>
      <c r="CK12" s="539" t="str">
        <f>+'Results &amp; Summary'!B9</f>
        <v>Mobile combustion</v>
      </c>
      <c r="CO12" s="508">
        <v>1</v>
      </c>
      <c r="CP12" s="508" t="s">
        <v>12</v>
      </c>
      <c r="CQ12" s="550">
        <f>1/N7</f>
        <v>1.8518518518518516</v>
      </c>
      <c r="CR12" s="508" t="s">
        <v>1985</v>
      </c>
      <c r="CS12" s="534" t="s">
        <v>2089</v>
      </c>
      <c r="DH12" s="539" t="str">
        <f t="shared" si="10"/>
        <v>Jamaica</v>
      </c>
      <c r="DI12" s="539" t="str">
        <f t="shared" si="11"/>
        <v>Americas</v>
      </c>
      <c r="DJ12" s="539" t="str">
        <f t="shared" si="12"/>
        <v>Caribbean</v>
      </c>
      <c r="DL12" s="539" t="s">
        <v>35</v>
      </c>
      <c r="DN12" s="539" t="s">
        <v>2117</v>
      </c>
      <c r="DO12" s="539" t="s">
        <v>2118</v>
      </c>
    </row>
    <row r="13" spans="1:126" ht="25.5">
      <c r="A13" s="517">
        <f t="shared" si="16"/>
        <v>2025</v>
      </c>
      <c r="C13" s="463" t="s">
        <v>4375</v>
      </c>
      <c r="D13" s="519"/>
      <c r="E13" s="731">
        <v>5810</v>
      </c>
      <c r="F13" s="520" t="s">
        <v>2079</v>
      </c>
      <c r="G13" s="521" t="s">
        <v>4368</v>
      </c>
      <c r="H13" s="520"/>
      <c r="I13" s="521"/>
      <c r="J13" s="520"/>
      <c r="L13" s="552" t="s">
        <v>26</v>
      </c>
      <c r="M13" s="553"/>
      <c r="N13" s="553" t="s">
        <v>2119</v>
      </c>
      <c r="O13" s="534" t="s">
        <v>2120</v>
      </c>
      <c r="P13" s="534" t="s">
        <v>2121</v>
      </c>
      <c r="Q13" s="534" t="s">
        <v>2121</v>
      </c>
      <c r="R13" s="534" t="s">
        <v>2121</v>
      </c>
      <c r="S13" s="534" t="s">
        <v>2122</v>
      </c>
      <c r="T13" s="534" t="s">
        <v>2123</v>
      </c>
      <c r="U13" s="534" t="s">
        <v>2123</v>
      </c>
      <c r="V13" s="534"/>
      <c r="X13" s="524" t="s">
        <v>2124</v>
      </c>
      <c r="Y13" s="525">
        <v>238.26</v>
      </c>
      <c r="Z13" s="526">
        <f>0.737/$Y$25</f>
        <v>0.45795170691090759</v>
      </c>
      <c r="AA13" s="526">
        <f>0.05/$Y$25</f>
        <v>3.1068636832490341E-2</v>
      </c>
      <c r="AB13" s="534" t="s">
        <v>2125</v>
      </c>
      <c r="AH13" s="528" t="str">
        <f t="shared" si="17"/>
        <v>Taxi</v>
      </c>
      <c r="AJ13" s="528" t="str">
        <f t="shared" si="15"/>
        <v>Train</v>
      </c>
      <c r="AN13" s="529" t="s">
        <v>2126</v>
      </c>
      <c r="AU13" s="528"/>
      <c r="AW13" s="1395" t="s">
        <v>2656</v>
      </c>
      <c r="AX13" s="1394" t="s">
        <v>2086</v>
      </c>
      <c r="AY13" s="1396" t="s">
        <v>2167</v>
      </c>
      <c r="AZ13" s="1395">
        <v>468</v>
      </c>
      <c r="BA13" s="527" t="s">
        <v>1977</v>
      </c>
      <c r="BB13" s="535">
        <v>9.3894684857089938</v>
      </c>
      <c r="BC13" s="534" t="s">
        <v>2087</v>
      </c>
      <c r="BD13" s="536"/>
      <c r="BE13" s="536"/>
      <c r="BF13" s="534"/>
      <c r="BG13" s="536"/>
      <c r="BH13" s="537">
        <f t="shared" si="19"/>
        <v>17</v>
      </c>
      <c r="BI13" s="537">
        <f t="shared" si="20"/>
        <v>5.0999999999999996</v>
      </c>
      <c r="BJ13" s="537">
        <f t="shared" si="21"/>
        <v>46.9</v>
      </c>
      <c r="BK13" s="537">
        <f t="shared" si="22"/>
        <v>2.4</v>
      </c>
      <c r="BL13" s="537">
        <f t="shared" si="23"/>
        <v>9.5</v>
      </c>
      <c r="BM13" s="537">
        <f t="shared" si="24"/>
        <v>5.6</v>
      </c>
      <c r="BN13" s="537">
        <f t="shared" si="25"/>
        <v>9.9</v>
      </c>
      <c r="BO13" s="537">
        <f t="shared" si="26"/>
        <v>3.5999999999999943</v>
      </c>
      <c r="BP13" s="537">
        <f t="shared" si="18"/>
        <v>100</v>
      </c>
      <c r="BQ13" s="534" t="s">
        <v>1979</v>
      </c>
      <c r="BR13" s="556">
        <v>8.8539999999999994E-2</v>
      </c>
      <c r="BS13" s="556">
        <v>8.8539999999999994E-2</v>
      </c>
      <c r="BT13" s="556">
        <v>1.719E-2</v>
      </c>
      <c r="BU13" s="556">
        <v>7.3859999999999995E-2</v>
      </c>
      <c r="BV13" s="556">
        <v>4.929E-2</v>
      </c>
      <c r="BW13" s="557" t="s">
        <v>2275</v>
      </c>
      <c r="BX13" s="534" t="s">
        <v>2276</v>
      </c>
      <c r="BZ13" s="538" t="s">
        <v>2128</v>
      </c>
      <c r="CA13" s="537">
        <v>30.6</v>
      </c>
      <c r="CB13" s="537">
        <v>2</v>
      </c>
      <c r="CC13" s="537">
        <v>23.8</v>
      </c>
      <c r="CD13" s="537">
        <v>10</v>
      </c>
      <c r="CE13" s="537">
        <v>9.5</v>
      </c>
      <c r="CF13" s="537">
        <v>5.6</v>
      </c>
      <c r="CG13" s="537">
        <v>13</v>
      </c>
      <c r="CH13" s="537">
        <f t="shared" si="13"/>
        <v>5.5</v>
      </c>
      <c r="CI13" s="537">
        <f t="shared" si="14"/>
        <v>100</v>
      </c>
      <c r="CK13" s="539" t="str">
        <f>+'Results &amp; Summary'!B27</f>
        <v>Upstream transportation &amp; distribution</v>
      </c>
      <c r="CO13" s="508">
        <v>1</v>
      </c>
      <c r="CP13" s="508" t="s">
        <v>12</v>
      </c>
      <c r="CQ13" s="508">
        <v>1.9187000000000001</v>
      </c>
      <c r="CR13" s="508" t="s">
        <v>2010</v>
      </c>
      <c r="CS13" s="508" t="s">
        <v>2089</v>
      </c>
      <c r="DH13" s="539" t="str">
        <f t="shared" si="10"/>
        <v>Martinique (France)</v>
      </c>
      <c r="DI13" s="539" t="str">
        <f t="shared" si="11"/>
        <v>Americas</v>
      </c>
      <c r="DJ13" s="539" t="str">
        <f t="shared" si="12"/>
        <v>Caribbean</v>
      </c>
      <c r="DL13" s="539" t="s">
        <v>35</v>
      </c>
      <c r="DN13" s="539" t="s">
        <v>2129</v>
      </c>
      <c r="DO13" s="539" t="s">
        <v>2130</v>
      </c>
    </row>
    <row r="14" spans="1:126">
      <c r="A14" s="517">
        <v>2026</v>
      </c>
      <c r="C14" s="463" t="s">
        <v>4376</v>
      </c>
      <c r="D14" s="519"/>
      <c r="E14" s="731">
        <v>164</v>
      </c>
      <c r="F14" s="520" t="s">
        <v>2079</v>
      </c>
      <c r="G14" s="521" t="s">
        <v>4368</v>
      </c>
      <c r="H14" s="520"/>
      <c r="I14" s="521"/>
      <c r="J14" s="520"/>
      <c r="M14" s="16"/>
      <c r="N14" s="16"/>
      <c r="O14" s="16"/>
      <c r="P14" s="16"/>
      <c r="Q14" s="16"/>
      <c r="R14" s="16"/>
      <c r="S14" s="16"/>
      <c r="T14" s="16"/>
      <c r="U14" s="16"/>
      <c r="V14" s="16"/>
      <c r="X14" s="524" t="s">
        <v>2131</v>
      </c>
      <c r="Y14" s="525">
        <v>74.14</v>
      </c>
      <c r="Z14" s="526">
        <v>1.9E-3</v>
      </c>
      <c r="AA14" s="526">
        <v>1.4E-3</v>
      </c>
      <c r="AB14" s="527" t="s">
        <v>2081</v>
      </c>
      <c r="AC14" s="526"/>
      <c r="AH14" s="528" t="str">
        <f t="shared" si="17"/>
        <v>Train</v>
      </c>
      <c r="AW14" s="1395" t="s">
        <v>2678</v>
      </c>
      <c r="AX14" s="1394" t="s">
        <v>2086</v>
      </c>
      <c r="AY14" s="1396" t="s">
        <v>2167</v>
      </c>
      <c r="AZ14" s="1395">
        <v>542</v>
      </c>
      <c r="BA14" s="527" t="s">
        <v>1977</v>
      </c>
      <c r="BB14" s="551">
        <v>4.78</v>
      </c>
      <c r="BC14" s="534" t="s">
        <v>2006</v>
      </c>
      <c r="BD14" s="536"/>
      <c r="BE14" s="536"/>
      <c r="BF14" s="534"/>
      <c r="BG14" s="536"/>
      <c r="BH14" s="537">
        <f t="shared" si="19"/>
        <v>17</v>
      </c>
      <c r="BI14" s="537">
        <f t="shared" si="20"/>
        <v>5.0999999999999996</v>
      </c>
      <c r="BJ14" s="537">
        <f t="shared" si="21"/>
        <v>46.9</v>
      </c>
      <c r="BK14" s="537">
        <f t="shared" si="22"/>
        <v>2.4</v>
      </c>
      <c r="BL14" s="537">
        <f t="shared" si="23"/>
        <v>9.5</v>
      </c>
      <c r="BM14" s="537">
        <f t="shared" si="24"/>
        <v>5.6</v>
      </c>
      <c r="BN14" s="537">
        <f t="shared" si="25"/>
        <v>9.9</v>
      </c>
      <c r="BO14" s="537">
        <f t="shared" si="26"/>
        <v>3.5999999999999943</v>
      </c>
      <c r="BP14" s="537">
        <f t="shared" si="18"/>
        <v>100</v>
      </c>
      <c r="BQ14" s="534" t="s">
        <v>1979</v>
      </c>
      <c r="BR14" s="556">
        <v>8.8539999999999994E-2</v>
      </c>
      <c r="BS14" s="556">
        <v>8.8539999999999994E-2</v>
      </c>
      <c r="BT14" s="556">
        <v>1.719E-2</v>
      </c>
      <c r="BU14" s="556">
        <v>7.3859999999999995E-2</v>
      </c>
      <c r="BV14" s="556">
        <v>4.929E-2</v>
      </c>
      <c r="BW14" s="557" t="s">
        <v>2275</v>
      </c>
      <c r="BX14" s="534" t="s">
        <v>2276</v>
      </c>
      <c r="BZ14" s="538" t="s">
        <v>2134</v>
      </c>
      <c r="CA14" s="537">
        <v>17</v>
      </c>
      <c r="CB14" s="537">
        <v>6.8</v>
      </c>
      <c r="CC14" s="537">
        <v>36.9</v>
      </c>
      <c r="CD14" s="537">
        <v>10.6</v>
      </c>
      <c r="CE14" s="537">
        <v>9.5</v>
      </c>
      <c r="CF14" s="537">
        <v>5.6</v>
      </c>
      <c r="CG14" s="537">
        <v>6.8</v>
      </c>
      <c r="CH14" s="537">
        <f>+(100-$CA14-$CC14-$CD14-$CE14-$CF14)/3</f>
        <v>6.8</v>
      </c>
      <c r="CI14" s="537">
        <f t="shared" si="14"/>
        <v>99.999999999999986</v>
      </c>
      <c r="CK14" s="539" t="str">
        <f>+'Results &amp; Summary'!B21</f>
        <v>Purchased electricity</v>
      </c>
      <c r="DH14" s="539" t="str">
        <f t="shared" si="10"/>
        <v>Montserrat</v>
      </c>
      <c r="DI14" s="539" t="str">
        <f t="shared" si="11"/>
        <v>Americas</v>
      </c>
      <c r="DJ14" s="539" t="str">
        <f t="shared" si="12"/>
        <v>Caribbean</v>
      </c>
      <c r="DK14" s="539" t="e">
        <f>VLOOKUP(DH14,#REF!,1)</f>
        <v>#REF!</v>
      </c>
      <c r="DL14" s="539" t="e">
        <f>VLOOKUP(DK14,#REF!,2,FALSE)</f>
        <v>#REF!</v>
      </c>
      <c r="DN14" s="539" t="s">
        <v>2135</v>
      </c>
      <c r="DO14" s="539" t="s">
        <v>2136</v>
      </c>
    </row>
    <row r="15" spans="1:126">
      <c r="C15" s="463" t="s">
        <v>2924</v>
      </c>
      <c r="D15" s="519"/>
      <c r="E15" s="731">
        <v>4.84</v>
      </c>
      <c r="F15" s="520" t="s">
        <v>2079</v>
      </c>
      <c r="G15" s="521" t="s">
        <v>4368</v>
      </c>
      <c r="H15" s="520"/>
      <c r="I15" s="521"/>
      <c r="J15" s="520"/>
      <c r="L15" s="16"/>
      <c r="M15" s="16"/>
      <c r="N15" s="16"/>
      <c r="O15" s="16"/>
      <c r="P15" s="16"/>
      <c r="Q15" s="16"/>
      <c r="R15" s="16"/>
      <c r="S15" s="16"/>
      <c r="T15" s="16"/>
      <c r="U15" s="16"/>
      <c r="V15" s="16"/>
      <c r="X15" s="524" t="s">
        <v>36</v>
      </c>
      <c r="Y15" s="525">
        <f>203/$Y$25</f>
        <v>126.13866553991078</v>
      </c>
      <c r="Z15" s="526">
        <f>0.0899/$Y$25</f>
        <v>5.5861409024817621E-2</v>
      </c>
      <c r="AA15" s="526">
        <f>0.0087/$Y$25</f>
        <v>5.405942808853318E-3</v>
      </c>
      <c r="AB15" s="527" t="s">
        <v>1970</v>
      </c>
      <c r="AC15" s="526"/>
      <c r="AW15" s="1395" t="s">
        <v>2686</v>
      </c>
      <c r="AX15" s="1394" t="s">
        <v>2086</v>
      </c>
      <c r="AY15" s="1396" t="s">
        <v>2167</v>
      </c>
      <c r="AZ15" s="1395">
        <v>485</v>
      </c>
      <c r="BA15" s="527" t="s">
        <v>1977</v>
      </c>
      <c r="BB15" s="551">
        <v>4.78</v>
      </c>
      <c r="BC15" s="534" t="s">
        <v>2006</v>
      </c>
      <c r="BD15" s="536"/>
      <c r="BE15" s="536"/>
      <c r="BF15" s="534"/>
      <c r="BG15" s="536"/>
      <c r="BH15" s="537">
        <f t="shared" si="19"/>
        <v>17</v>
      </c>
      <c r="BI15" s="537">
        <f t="shared" si="20"/>
        <v>5.0999999999999996</v>
      </c>
      <c r="BJ15" s="537">
        <f t="shared" si="21"/>
        <v>46.9</v>
      </c>
      <c r="BK15" s="537">
        <f t="shared" si="22"/>
        <v>2.4</v>
      </c>
      <c r="BL15" s="537">
        <f t="shared" si="23"/>
        <v>9.5</v>
      </c>
      <c r="BM15" s="537">
        <f t="shared" si="24"/>
        <v>5.6</v>
      </c>
      <c r="BN15" s="537">
        <f t="shared" si="25"/>
        <v>9.9</v>
      </c>
      <c r="BO15" s="537">
        <f t="shared" si="26"/>
        <v>3.5999999999999943</v>
      </c>
      <c r="BP15" s="537">
        <f t="shared" si="18"/>
        <v>100</v>
      </c>
      <c r="BQ15" s="534" t="s">
        <v>1979</v>
      </c>
      <c r="BR15" s="556">
        <v>8.8539999999999994E-2</v>
      </c>
      <c r="BS15" s="556">
        <v>8.8539999999999994E-2</v>
      </c>
      <c r="BT15" s="556">
        <v>1.719E-2</v>
      </c>
      <c r="BU15" s="556">
        <v>7.3859999999999995E-2</v>
      </c>
      <c r="BV15" s="556">
        <v>4.929E-2</v>
      </c>
      <c r="BW15" s="557" t="s">
        <v>2275</v>
      </c>
      <c r="BX15" s="534" t="s">
        <v>2276</v>
      </c>
      <c r="BZ15" s="538" t="s">
        <v>2138</v>
      </c>
      <c r="CA15" s="537">
        <v>27.5</v>
      </c>
      <c r="CB15" s="537">
        <v>7.4</v>
      </c>
      <c r="CC15" s="537">
        <v>24.2</v>
      </c>
      <c r="CD15" s="537">
        <v>11</v>
      </c>
      <c r="CE15" s="537">
        <v>9.5</v>
      </c>
      <c r="CF15" s="537">
        <v>5.6</v>
      </c>
      <c r="CG15" s="537">
        <v>7.4</v>
      </c>
      <c r="CH15" s="537">
        <f>+(100-$CA15-$CC15-$CD15-$CE15-$CF15)/3</f>
        <v>7.3999999999999986</v>
      </c>
      <c r="CI15" s="537">
        <f t="shared" si="14"/>
        <v>100</v>
      </c>
      <c r="CK15" s="539" t="str">
        <f>+'Scope 1 and 2 Data'!B251</f>
        <v>Purchased Steam, Hot and Chilled Water</v>
      </c>
      <c r="CQ15" s="735"/>
      <c r="DH15" s="539" t="str">
        <f t="shared" si="10"/>
        <v>Netherlands Antilles</v>
      </c>
      <c r="DI15" s="539" t="str">
        <f t="shared" si="11"/>
        <v>Americas</v>
      </c>
      <c r="DJ15" s="539" t="str">
        <f t="shared" si="12"/>
        <v>Caribbean</v>
      </c>
      <c r="DK15" s="539" t="e">
        <f>VLOOKUP(DH15,#REF!,1)</f>
        <v>#REF!</v>
      </c>
      <c r="DL15" s="539" t="e">
        <f>VLOOKUP(DK15,#REF!,2,FALSE)</f>
        <v>#REF!</v>
      </c>
      <c r="DN15" s="539" t="s">
        <v>2139</v>
      </c>
      <c r="DO15" s="539" t="s">
        <v>2140</v>
      </c>
    </row>
    <row r="16" spans="1:126" ht="25.5">
      <c r="C16" s="463" t="s">
        <v>4377</v>
      </c>
      <c r="D16" s="519"/>
      <c r="E16" s="731">
        <v>3600</v>
      </c>
      <c r="F16" s="520" t="s">
        <v>2079</v>
      </c>
      <c r="G16" s="521" t="s">
        <v>4368</v>
      </c>
      <c r="H16" s="520"/>
      <c r="I16" s="521"/>
      <c r="J16" s="520"/>
      <c r="L16" s="736" t="s">
        <v>1897</v>
      </c>
      <c r="M16" s="16"/>
      <c r="N16" s="16">
        <f>+N3*O3*P3</f>
        <v>1884.9599999999998</v>
      </c>
      <c r="O16" s="16"/>
      <c r="P16" s="736" t="s">
        <v>2936</v>
      </c>
      <c r="Q16" s="16"/>
      <c r="R16" s="16"/>
      <c r="S16" s="16"/>
      <c r="T16" s="16"/>
      <c r="U16" s="16"/>
      <c r="V16" s="16"/>
      <c r="X16" s="524" t="s">
        <v>2141</v>
      </c>
      <c r="Y16" s="525">
        <v>152.30000000000001</v>
      </c>
      <c r="Z16" s="526">
        <v>1.6999999999999999E-3</v>
      </c>
      <c r="AA16" s="526">
        <v>3.8E-3</v>
      </c>
      <c r="AB16" s="527" t="s">
        <v>2081</v>
      </c>
      <c r="AC16" s="526"/>
      <c r="AW16" s="1395" t="s">
        <v>2702</v>
      </c>
      <c r="AX16" s="1394" t="s">
        <v>2086</v>
      </c>
      <c r="AY16" s="1396" t="s">
        <v>2167</v>
      </c>
      <c r="AZ16" s="1395">
        <v>390</v>
      </c>
      <c r="BA16" s="527" t="s">
        <v>1977</v>
      </c>
      <c r="BB16" s="551">
        <v>4.78</v>
      </c>
      <c r="BC16" s="534" t="s">
        <v>2006</v>
      </c>
      <c r="BD16" s="536"/>
      <c r="BE16" s="536"/>
      <c r="BF16" s="534"/>
      <c r="BG16" s="536"/>
      <c r="BH16" s="537">
        <f t="shared" si="19"/>
        <v>17</v>
      </c>
      <c r="BI16" s="537">
        <f t="shared" si="20"/>
        <v>5.0999999999999996</v>
      </c>
      <c r="BJ16" s="537">
        <f t="shared" si="21"/>
        <v>46.9</v>
      </c>
      <c r="BK16" s="537">
        <f t="shared" si="22"/>
        <v>2.4</v>
      </c>
      <c r="BL16" s="537">
        <f t="shared" si="23"/>
        <v>9.5</v>
      </c>
      <c r="BM16" s="537">
        <f t="shared" si="24"/>
        <v>5.6</v>
      </c>
      <c r="BN16" s="537">
        <f t="shared" si="25"/>
        <v>9.9</v>
      </c>
      <c r="BO16" s="537">
        <f t="shared" si="26"/>
        <v>3.5999999999999943</v>
      </c>
      <c r="BP16" s="537">
        <f t="shared" si="18"/>
        <v>100</v>
      </c>
      <c r="BQ16" s="534" t="s">
        <v>1979</v>
      </c>
      <c r="BR16" s="556">
        <v>8.8539999999999994E-2</v>
      </c>
      <c r="BS16" s="556">
        <v>8.8539999999999994E-2</v>
      </c>
      <c r="BT16" s="556">
        <v>1.719E-2</v>
      </c>
      <c r="BU16" s="556">
        <v>7.3859999999999995E-2</v>
      </c>
      <c r="BV16" s="556">
        <v>4.929E-2</v>
      </c>
      <c r="BW16" s="557" t="s">
        <v>2275</v>
      </c>
      <c r="BX16" s="534" t="s">
        <v>2276</v>
      </c>
      <c r="BZ16" s="538" t="s">
        <v>2143</v>
      </c>
      <c r="CA16" s="537">
        <v>30</v>
      </c>
      <c r="CB16" s="537">
        <v>2</v>
      </c>
      <c r="CC16" s="537">
        <v>36</v>
      </c>
      <c r="CD16" s="537">
        <v>24</v>
      </c>
      <c r="CE16" s="537">
        <v>2</v>
      </c>
      <c r="CF16" s="537">
        <v>2</v>
      </c>
      <c r="CG16" s="537">
        <v>2</v>
      </c>
      <c r="CH16" s="537">
        <f>+(100-$CA16-$CC16-$CD16)/5</f>
        <v>2</v>
      </c>
      <c r="CI16" s="537">
        <f t="shared" si="14"/>
        <v>100</v>
      </c>
      <c r="CK16" s="539" t="str">
        <f>+'Results &amp; Summary'!B33</f>
        <v>Processing of sold products</v>
      </c>
      <c r="DH16" s="539" t="str">
        <f t="shared" si="10"/>
        <v>Puerto Rico (U.S.)</v>
      </c>
      <c r="DI16" s="539" t="str">
        <f t="shared" si="11"/>
        <v>Americas</v>
      </c>
      <c r="DJ16" s="539" t="str">
        <f t="shared" si="12"/>
        <v>Caribbean</v>
      </c>
      <c r="DK16" s="539" t="e">
        <f>VLOOKUP(DH16,#REF!,1)</f>
        <v>#REF!</v>
      </c>
      <c r="DL16" s="539" t="e">
        <f>VLOOKUP(DK16,#REF!,2,FALSE)</f>
        <v>#REF!</v>
      </c>
      <c r="DN16" s="539" t="s">
        <v>2144</v>
      </c>
      <c r="DO16" s="539" t="s">
        <v>2145</v>
      </c>
    </row>
    <row r="17" spans="3:119" ht="12.75" customHeight="1">
      <c r="C17" s="463" t="s">
        <v>4378</v>
      </c>
      <c r="D17" s="519"/>
      <c r="E17" s="731">
        <v>14600</v>
      </c>
      <c r="F17" s="520" t="s">
        <v>2079</v>
      </c>
      <c r="G17" s="521" t="s">
        <v>4368</v>
      </c>
      <c r="H17" s="520"/>
      <c r="I17" s="521"/>
      <c r="J17" s="520"/>
      <c r="L17" s="522" t="s">
        <v>10</v>
      </c>
      <c r="M17" s="16"/>
      <c r="N17" s="16"/>
      <c r="O17" s="16"/>
      <c r="P17" s="737">
        <f>(P3+(Q3*$E$3)+(R3*$E$4))*N3*O3</f>
        <v>1932.6350400000001</v>
      </c>
      <c r="Q17" s="539" t="s">
        <v>2937</v>
      </c>
      <c r="R17" s="16"/>
      <c r="S17" s="16"/>
      <c r="T17" s="16"/>
      <c r="U17" s="16"/>
      <c r="V17" s="16"/>
      <c r="X17" s="524" t="s">
        <v>2146</v>
      </c>
      <c r="Y17" s="525">
        <v>76.8</v>
      </c>
      <c r="Z17" s="526">
        <v>1.9E-3</v>
      </c>
      <c r="AA17" s="526">
        <v>1.4E-3</v>
      </c>
      <c r="AB17" s="527" t="s">
        <v>2081</v>
      </c>
      <c r="AC17" s="526"/>
      <c r="AW17" s="1395" t="s">
        <v>2709</v>
      </c>
      <c r="AX17" s="1394" t="s">
        <v>2086</v>
      </c>
      <c r="AY17" s="1396" t="s">
        <v>2167</v>
      </c>
      <c r="AZ17" s="1395">
        <v>502</v>
      </c>
      <c r="BA17" s="527" t="s">
        <v>1977</v>
      </c>
      <c r="BB17" s="551">
        <v>4.78</v>
      </c>
      <c r="BC17" s="534" t="s">
        <v>2006</v>
      </c>
      <c r="BD17" s="536"/>
      <c r="BE17" s="536"/>
      <c r="BF17" s="534"/>
      <c r="BG17" s="536"/>
      <c r="BH17" s="537">
        <f t="shared" si="19"/>
        <v>17</v>
      </c>
      <c r="BI17" s="537">
        <f t="shared" si="20"/>
        <v>5.0999999999999996</v>
      </c>
      <c r="BJ17" s="537">
        <f t="shared" si="21"/>
        <v>46.9</v>
      </c>
      <c r="BK17" s="537">
        <f t="shared" si="22"/>
        <v>2.4</v>
      </c>
      <c r="BL17" s="537">
        <f t="shared" si="23"/>
        <v>9.5</v>
      </c>
      <c r="BM17" s="537">
        <f t="shared" si="24"/>
        <v>5.6</v>
      </c>
      <c r="BN17" s="537">
        <f t="shared" si="25"/>
        <v>9.9</v>
      </c>
      <c r="BO17" s="537">
        <f t="shared" si="26"/>
        <v>3.5999999999999943</v>
      </c>
      <c r="BP17" s="537">
        <f t="shared" si="18"/>
        <v>100</v>
      </c>
      <c r="BQ17" s="534" t="s">
        <v>1979</v>
      </c>
      <c r="BR17" s="556">
        <v>8.8539999999999994E-2</v>
      </c>
      <c r="BS17" s="556">
        <v>8.8539999999999994E-2</v>
      </c>
      <c r="BT17" s="556">
        <v>1.719E-2</v>
      </c>
      <c r="BU17" s="556">
        <v>7.3859999999999995E-2</v>
      </c>
      <c r="BV17" s="556">
        <v>4.929E-2</v>
      </c>
      <c r="BW17" s="557" t="s">
        <v>2275</v>
      </c>
      <c r="BX17" s="534" t="s">
        <v>2276</v>
      </c>
      <c r="BZ17" s="538" t="s">
        <v>2147</v>
      </c>
      <c r="CA17" s="537">
        <v>6</v>
      </c>
      <c r="CB17" s="537">
        <v>2.97</v>
      </c>
      <c r="CC17" s="537">
        <v>67.5</v>
      </c>
      <c r="CD17" s="537">
        <v>2.5</v>
      </c>
      <c r="CE17" s="537">
        <v>9.5</v>
      </c>
      <c r="CF17" s="537">
        <v>5.6</v>
      </c>
      <c r="CG17" s="537">
        <v>2.97</v>
      </c>
      <c r="CH17" s="537">
        <f>+(100-$CA17-$CC17-$CD17-$CE17-$CF17)/3</f>
        <v>2.9666666666666668</v>
      </c>
      <c r="CI17" s="537">
        <f t="shared" si="14"/>
        <v>100.00666666666666</v>
      </c>
      <c r="CK17" s="539" t="str">
        <f>+'Results &amp; Summary'!B8</f>
        <v>Stationary combustion</v>
      </c>
      <c r="DH17" s="539" t="str">
        <f t="shared" si="10"/>
        <v>Saint Kitts and Nevis</v>
      </c>
      <c r="DI17" s="539" t="str">
        <f t="shared" si="11"/>
        <v>Americas</v>
      </c>
      <c r="DJ17" s="539" t="str">
        <f t="shared" si="12"/>
        <v>Caribbean</v>
      </c>
      <c r="DK17" s="539" t="e">
        <f>VLOOKUP(DH17,#REF!,1)</f>
        <v>#REF!</v>
      </c>
      <c r="DL17" s="539" t="e">
        <f>VLOOKUP(DK17,#REF!,2,FALSE)</f>
        <v>#REF!</v>
      </c>
      <c r="DN17" s="539" t="s">
        <v>2148</v>
      </c>
      <c r="DO17" s="539" t="s">
        <v>2149</v>
      </c>
    </row>
    <row r="18" spans="3:119">
      <c r="C18" s="463" t="s">
        <v>2925</v>
      </c>
      <c r="D18" s="519"/>
      <c r="E18" s="731">
        <v>1350</v>
      </c>
      <c r="F18" s="520" t="s">
        <v>2079</v>
      </c>
      <c r="G18" s="521" t="s">
        <v>4368</v>
      </c>
      <c r="H18" s="520"/>
      <c r="I18" s="521"/>
      <c r="J18" s="520"/>
      <c r="L18" s="522" t="s">
        <v>16</v>
      </c>
      <c r="M18" s="16"/>
      <c r="N18" s="16"/>
      <c r="O18" s="16"/>
      <c r="P18" s="738">
        <f>(P4*N4*O4)+(Q4*O4*N4*$E$3)+(R4*O4*N4*$E$4)</f>
        <v>2786.7808079999995</v>
      </c>
      <c r="Q18" s="16"/>
      <c r="R18" s="16"/>
      <c r="S18" s="16"/>
      <c r="T18" s="16"/>
      <c r="U18" s="16"/>
      <c r="V18" s="16"/>
      <c r="X18" s="1495" t="str">
        <f>+"* Not applicable for "&amp;X3&amp;", "&amp;X4&amp;", "&amp;X11&amp;", "&amp;X12&amp;" y "&amp;X15&amp;" where units are [g(GAS)/km]"</f>
        <v>* Not applicable for Private car (diesel), Private car (gasoline), Private SUV or truck (diesel), Private SUV (gasolina) y Motorbike where units are [g(GAS)/km]</v>
      </c>
      <c r="Y18" s="1496"/>
      <c r="Z18" s="1496"/>
      <c r="AA18" s="1496"/>
      <c r="AB18" s="1496"/>
      <c r="AC18" s="1497"/>
      <c r="AW18" s="1395" t="s">
        <v>2710</v>
      </c>
      <c r="AX18" s="1394" t="s">
        <v>2086</v>
      </c>
      <c r="AY18" s="1396" t="s">
        <v>2167</v>
      </c>
      <c r="AZ18" s="1395">
        <v>561</v>
      </c>
      <c r="BA18" s="527" t="s">
        <v>1977</v>
      </c>
      <c r="BB18" s="551">
        <v>4.78</v>
      </c>
      <c r="BC18" s="534" t="s">
        <v>2006</v>
      </c>
      <c r="BD18" s="536"/>
      <c r="BE18" s="536"/>
      <c r="BF18" s="534"/>
      <c r="BG18" s="536"/>
      <c r="BH18" s="537">
        <f t="shared" si="19"/>
        <v>17</v>
      </c>
      <c r="BI18" s="537">
        <f t="shared" si="20"/>
        <v>5.0999999999999996</v>
      </c>
      <c r="BJ18" s="537">
        <f t="shared" si="21"/>
        <v>46.9</v>
      </c>
      <c r="BK18" s="537">
        <f t="shared" si="22"/>
        <v>2.4</v>
      </c>
      <c r="BL18" s="537">
        <f t="shared" si="23"/>
        <v>9.5</v>
      </c>
      <c r="BM18" s="537">
        <f t="shared" si="24"/>
        <v>5.6</v>
      </c>
      <c r="BN18" s="537">
        <f t="shared" si="25"/>
        <v>9.9</v>
      </c>
      <c r="BO18" s="537">
        <f t="shared" si="26"/>
        <v>3.5999999999999943</v>
      </c>
      <c r="BP18" s="537">
        <f t="shared" si="18"/>
        <v>100</v>
      </c>
      <c r="BQ18" s="534" t="s">
        <v>1979</v>
      </c>
      <c r="BR18" s="556">
        <v>8.8539999999999994E-2</v>
      </c>
      <c r="BS18" s="556">
        <v>8.8539999999999994E-2</v>
      </c>
      <c r="BT18" s="556">
        <v>1.719E-2</v>
      </c>
      <c r="BU18" s="556">
        <v>7.3859999999999995E-2</v>
      </c>
      <c r="BV18" s="556">
        <v>4.929E-2</v>
      </c>
      <c r="BW18" s="557" t="s">
        <v>2275</v>
      </c>
      <c r="BX18" s="534" t="s">
        <v>2276</v>
      </c>
      <c r="BZ18" s="538" t="s">
        <v>2151</v>
      </c>
      <c r="CA18" s="537">
        <v>23.2</v>
      </c>
      <c r="CB18" s="537">
        <v>3.9</v>
      </c>
      <c r="CC18" s="537">
        <v>33.9</v>
      </c>
      <c r="CD18" s="537">
        <v>6.2</v>
      </c>
      <c r="CE18" s="537">
        <v>9.5</v>
      </c>
      <c r="CF18" s="537">
        <v>5.6</v>
      </c>
      <c r="CG18" s="537">
        <v>8.5</v>
      </c>
      <c r="CH18" s="537">
        <f>100-SUM(CA18:CG18)</f>
        <v>9.2000000000000028</v>
      </c>
      <c r="CI18" s="537">
        <f t="shared" si="14"/>
        <v>100</v>
      </c>
      <c r="DH18" s="539" t="str">
        <f t="shared" si="10"/>
        <v>Saint Lucia</v>
      </c>
      <c r="DI18" s="539" t="str">
        <f t="shared" si="11"/>
        <v>Americas</v>
      </c>
      <c r="DJ18" s="539" t="str">
        <f t="shared" si="12"/>
        <v>Caribbean</v>
      </c>
      <c r="DK18" s="539" t="e">
        <f>VLOOKUP(DH18,#REF!,1)</f>
        <v>#REF!</v>
      </c>
      <c r="DL18" s="539" t="e">
        <f>VLOOKUP(DK18,#REF!,2,FALSE)</f>
        <v>#REF!</v>
      </c>
      <c r="DN18" s="539" t="s">
        <v>2152</v>
      </c>
      <c r="DO18" s="539" t="s">
        <v>2153</v>
      </c>
    </row>
    <row r="19" spans="3:119">
      <c r="C19" s="463" t="s">
        <v>2170</v>
      </c>
      <c r="D19" s="519"/>
      <c r="E19" s="731">
        <v>1500</v>
      </c>
      <c r="F19" s="520" t="s">
        <v>2079</v>
      </c>
      <c r="G19" s="521" t="s">
        <v>4368</v>
      </c>
      <c r="H19" s="520"/>
      <c r="I19" s="521"/>
      <c r="J19" s="520"/>
      <c r="L19" s="522" t="s">
        <v>2020</v>
      </c>
      <c r="M19" s="16"/>
      <c r="N19" s="16"/>
      <c r="O19" s="16"/>
      <c r="P19" s="738">
        <f t="shared" ref="P19:P26" si="27">(P5+(Q5*$E$3)+(R5*$E$4))*N5*O5</f>
        <v>3055.2983184</v>
      </c>
      <c r="Q19" s="16"/>
      <c r="R19" s="16"/>
      <c r="S19" s="16"/>
      <c r="T19" s="16"/>
      <c r="U19" s="16"/>
      <c r="V19" s="16"/>
      <c r="AW19" s="1395" t="s">
        <v>2711</v>
      </c>
      <c r="AX19" s="1394" t="s">
        <v>2086</v>
      </c>
      <c r="AY19" s="1396" t="s">
        <v>2167</v>
      </c>
      <c r="AZ19" s="1395">
        <v>487</v>
      </c>
      <c r="BA19" s="527" t="s">
        <v>1977</v>
      </c>
      <c r="BB19" s="551">
        <v>4.78</v>
      </c>
      <c r="BC19" s="534" t="s">
        <v>2006</v>
      </c>
      <c r="BD19" s="536"/>
      <c r="BE19" s="536"/>
      <c r="BF19" s="534"/>
      <c r="BG19" s="536"/>
      <c r="BH19" s="537">
        <f t="shared" si="19"/>
        <v>17</v>
      </c>
      <c r="BI19" s="537">
        <f t="shared" si="20"/>
        <v>5.0999999999999996</v>
      </c>
      <c r="BJ19" s="537">
        <f t="shared" si="21"/>
        <v>46.9</v>
      </c>
      <c r="BK19" s="537">
        <f t="shared" si="22"/>
        <v>2.4</v>
      </c>
      <c r="BL19" s="537">
        <f t="shared" si="23"/>
        <v>9.5</v>
      </c>
      <c r="BM19" s="537">
        <f t="shared" si="24"/>
        <v>5.6</v>
      </c>
      <c r="BN19" s="537">
        <f t="shared" si="25"/>
        <v>9.9</v>
      </c>
      <c r="BO19" s="537">
        <f t="shared" si="26"/>
        <v>3.5999999999999943</v>
      </c>
      <c r="BP19" s="537">
        <f t="shared" si="18"/>
        <v>100</v>
      </c>
      <c r="BQ19" s="534" t="s">
        <v>1979</v>
      </c>
      <c r="BR19" s="556">
        <v>8.8539999999999994E-2</v>
      </c>
      <c r="BS19" s="556">
        <v>8.8539999999999994E-2</v>
      </c>
      <c r="BT19" s="556">
        <v>1.719E-2</v>
      </c>
      <c r="BU19" s="556">
        <v>7.3859999999999995E-2</v>
      </c>
      <c r="BV19" s="556">
        <v>4.929E-2</v>
      </c>
      <c r="BW19" s="557" t="s">
        <v>2275</v>
      </c>
      <c r="BX19" s="534" t="s">
        <v>2276</v>
      </c>
      <c r="BZ19" s="538" t="s">
        <v>2155</v>
      </c>
      <c r="CA19" s="537">
        <v>13.7</v>
      </c>
      <c r="CB19" s="537">
        <v>2.6</v>
      </c>
      <c r="CC19" s="537">
        <v>43.8</v>
      </c>
      <c r="CD19" s="537">
        <v>13.5</v>
      </c>
      <c r="CE19" s="537">
        <v>9.5</v>
      </c>
      <c r="CF19" s="537">
        <v>5.6</v>
      </c>
      <c r="CG19" s="537">
        <v>6.7</v>
      </c>
      <c r="CH19" s="537">
        <f>100-SUM(CA19:CG19)</f>
        <v>4.6000000000000085</v>
      </c>
      <c r="CI19" s="537">
        <f t="shared" si="14"/>
        <v>100</v>
      </c>
      <c r="DH19" s="539" t="str">
        <f t="shared" si="10"/>
        <v>Saint Martin (France)</v>
      </c>
      <c r="DI19" s="539" t="str">
        <f t="shared" si="11"/>
        <v>Americas</v>
      </c>
      <c r="DJ19" s="539" t="str">
        <f t="shared" si="12"/>
        <v>Caribbean</v>
      </c>
      <c r="DK19" s="539" t="e">
        <f>VLOOKUP(DH19,#REF!,1)</f>
        <v>#REF!</v>
      </c>
      <c r="DL19" s="539" t="e">
        <f>VLOOKUP(DK19,#REF!,2,FALSE)</f>
        <v>#REF!</v>
      </c>
      <c r="DN19" s="539" t="s">
        <v>2156</v>
      </c>
      <c r="DO19" s="539" t="s">
        <v>2157</v>
      </c>
    </row>
    <row r="20" spans="3:119">
      <c r="C20" s="463" t="s">
        <v>2175</v>
      </c>
      <c r="D20" s="519"/>
      <c r="E20" s="731">
        <v>8690</v>
      </c>
      <c r="F20" s="520" t="s">
        <v>2079</v>
      </c>
      <c r="G20" s="521" t="s">
        <v>4368</v>
      </c>
      <c r="H20" s="520"/>
      <c r="I20" s="521"/>
      <c r="J20" s="520"/>
      <c r="L20" s="522" t="s">
        <v>17</v>
      </c>
      <c r="P20" s="738">
        <f>(P6+(Q6*$E$3)+(R6*$E$4))*N6*O6</f>
        <v>2371.8891588000001</v>
      </c>
      <c r="X20" s="510" t="s">
        <v>2158</v>
      </c>
      <c r="Y20" s="510" t="s">
        <v>2159</v>
      </c>
      <c r="Z20" s="510" t="s">
        <v>2160</v>
      </c>
      <c r="AA20" s="554" t="s">
        <v>26</v>
      </c>
      <c r="AW20" s="1395" t="s">
        <v>2713</v>
      </c>
      <c r="AX20" s="1394" t="s">
        <v>2086</v>
      </c>
      <c r="AY20" s="1396" t="s">
        <v>2167</v>
      </c>
      <c r="AZ20" s="1395">
        <v>521</v>
      </c>
      <c r="BA20" s="527" t="s">
        <v>1977</v>
      </c>
      <c r="BB20" s="551">
        <v>4.78</v>
      </c>
      <c r="BC20" s="534" t="s">
        <v>2006</v>
      </c>
      <c r="BD20" s="536"/>
      <c r="BE20" s="536"/>
      <c r="BF20" s="534"/>
      <c r="BG20" s="536"/>
      <c r="BH20" s="537">
        <f t="shared" si="19"/>
        <v>17</v>
      </c>
      <c r="BI20" s="537">
        <f t="shared" si="20"/>
        <v>5.0999999999999996</v>
      </c>
      <c r="BJ20" s="537">
        <f t="shared" si="21"/>
        <v>46.9</v>
      </c>
      <c r="BK20" s="537">
        <f t="shared" si="22"/>
        <v>2.4</v>
      </c>
      <c r="BL20" s="537">
        <f t="shared" si="23"/>
        <v>9.5</v>
      </c>
      <c r="BM20" s="537">
        <f t="shared" si="24"/>
        <v>5.6</v>
      </c>
      <c r="BN20" s="537">
        <f t="shared" si="25"/>
        <v>9.9</v>
      </c>
      <c r="BO20" s="537">
        <f t="shared" si="26"/>
        <v>3.5999999999999943</v>
      </c>
      <c r="BP20" s="537">
        <f t="shared" si="18"/>
        <v>100</v>
      </c>
      <c r="BQ20" s="534" t="s">
        <v>1979</v>
      </c>
      <c r="BR20" s="556">
        <v>8.8539999999999994E-2</v>
      </c>
      <c r="BS20" s="556">
        <v>8.8539999999999994E-2</v>
      </c>
      <c r="BT20" s="556">
        <v>1.719E-2</v>
      </c>
      <c r="BU20" s="556">
        <v>7.3859999999999995E-2</v>
      </c>
      <c r="BV20" s="556">
        <v>4.929E-2</v>
      </c>
      <c r="BW20" s="557" t="s">
        <v>2275</v>
      </c>
      <c r="BX20" s="534" t="s">
        <v>2276</v>
      </c>
      <c r="BZ20" s="538" t="s">
        <v>2162</v>
      </c>
      <c r="CA20" s="537">
        <v>17.100000000000001</v>
      </c>
      <c r="CB20" s="537">
        <v>2.6</v>
      </c>
      <c r="CC20" s="537">
        <v>44.9</v>
      </c>
      <c r="CD20" s="537">
        <v>4.7</v>
      </c>
      <c r="CE20" s="537">
        <v>9.5</v>
      </c>
      <c r="CF20" s="537">
        <v>5.6</v>
      </c>
      <c r="CG20" s="537">
        <v>10.8</v>
      </c>
      <c r="CH20" s="537">
        <f>100-SUM(CA20:CG20)</f>
        <v>4.8000000000000114</v>
      </c>
      <c r="CI20" s="537">
        <f t="shared" si="14"/>
        <v>100</v>
      </c>
      <c r="DH20" s="539" t="str">
        <f t="shared" si="10"/>
        <v>Saint Vincent and Grenadines</v>
      </c>
      <c r="DI20" s="539" t="str">
        <f t="shared" si="11"/>
        <v>Americas</v>
      </c>
      <c r="DJ20" s="539" t="str">
        <f t="shared" si="12"/>
        <v>Caribbean</v>
      </c>
      <c r="DK20" s="539" t="e">
        <f>VLOOKUP(DH20,#REF!,1)</f>
        <v>#REF!</v>
      </c>
      <c r="DL20" s="539" t="e">
        <f>VLOOKUP(DK20,#REF!,2,FALSE)</f>
        <v>#REF!</v>
      </c>
      <c r="DN20" s="539" t="s">
        <v>2163</v>
      </c>
      <c r="DO20" s="539" t="s">
        <v>2164</v>
      </c>
    </row>
    <row r="21" spans="3:119" ht="38.25">
      <c r="C21" s="463" t="s">
        <v>2182</v>
      </c>
      <c r="D21" s="519"/>
      <c r="E21" s="731">
        <v>787</v>
      </c>
      <c r="F21" s="520" t="s">
        <v>2079</v>
      </c>
      <c r="G21" s="521" t="s">
        <v>4368</v>
      </c>
      <c r="H21" s="520"/>
      <c r="I21" s="521"/>
      <c r="J21" s="520"/>
      <c r="L21" s="522" t="s">
        <v>2056</v>
      </c>
      <c r="P21" s="738">
        <f t="shared" si="27"/>
        <v>1647.9417438</v>
      </c>
      <c r="X21" s="528" t="s">
        <v>38</v>
      </c>
      <c r="Y21" s="517">
        <v>0</v>
      </c>
      <c r="Z21" s="517">
        <v>500</v>
      </c>
      <c r="AA21" s="527" t="s">
        <v>2165</v>
      </c>
      <c r="AW21" s="1395" t="s">
        <v>2722</v>
      </c>
      <c r="AX21" s="1394" t="s">
        <v>2086</v>
      </c>
      <c r="AY21" s="1396" t="s">
        <v>2167</v>
      </c>
      <c r="AZ21" s="1395">
        <v>469</v>
      </c>
      <c r="BA21" s="527" t="s">
        <v>1977</v>
      </c>
      <c r="BB21" s="551">
        <v>4.78</v>
      </c>
      <c r="BC21" s="534" t="s">
        <v>2006</v>
      </c>
      <c r="BD21" s="536"/>
      <c r="BE21" s="536"/>
      <c r="BF21" s="534"/>
      <c r="BG21" s="536"/>
      <c r="BH21" s="537">
        <f t="shared" si="19"/>
        <v>17</v>
      </c>
      <c r="BI21" s="537">
        <f t="shared" si="20"/>
        <v>5.0999999999999996</v>
      </c>
      <c r="BJ21" s="537">
        <f t="shared" si="21"/>
        <v>46.9</v>
      </c>
      <c r="BK21" s="537">
        <f t="shared" si="22"/>
        <v>2.4</v>
      </c>
      <c r="BL21" s="537">
        <f t="shared" si="23"/>
        <v>9.5</v>
      </c>
      <c r="BM21" s="537">
        <f t="shared" si="24"/>
        <v>5.6</v>
      </c>
      <c r="BN21" s="537">
        <f t="shared" si="25"/>
        <v>9.9</v>
      </c>
      <c r="BO21" s="537">
        <f t="shared" si="26"/>
        <v>3.5999999999999943</v>
      </c>
      <c r="BP21" s="537">
        <f t="shared" si="18"/>
        <v>100</v>
      </c>
      <c r="BQ21" s="534" t="s">
        <v>1979</v>
      </c>
      <c r="BR21" s="556">
        <v>8.8539999999999994E-2</v>
      </c>
      <c r="BS21" s="556">
        <v>8.8539999999999994E-2</v>
      </c>
      <c r="BT21" s="556">
        <v>1.719E-2</v>
      </c>
      <c r="BU21" s="556">
        <v>7.3859999999999995E-2</v>
      </c>
      <c r="BV21" s="556">
        <v>4.929E-2</v>
      </c>
      <c r="BW21" s="557" t="s">
        <v>2275</v>
      </c>
      <c r="BX21" s="534" t="s">
        <v>2276</v>
      </c>
      <c r="BZ21" s="538" t="s">
        <v>2167</v>
      </c>
      <c r="CA21" s="537">
        <v>17</v>
      </c>
      <c r="CB21" s="537">
        <v>5.0999999999999996</v>
      </c>
      <c r="CC21" s="537">
        <v>46.9</v>
      </c>
      <c r="CD21" s="537">
        <v>2.4</v>
      </c>
      <c r="CE21" s="537">
        <v>9.5</v>
      </c>
      <c r="CF21" s="537">
        <v>5.6</v>
      </c>
      <c r="CG21" s="537">
        <v>9.9</v>
      </c>
      <c r="CH21" s="537">
        <f>100-SUM(CA21:CG21)</f>
        <v>3.5999999999999943</v>
      </c>
      <c r="CI21" s="537">
        <f t="shared" si="14"/>
        <v>100</v>
      </c>
      <c r="DH21" s="539" t="str">
        <f t="shared" si="10"/>
        <v>Sint Martin (Netherlands)</v>
      </c>
      <c r="DI21" s="539" t="str">
        <f t="shared" si="11"/>
        <v>Americas</v>
      </c>
      <c r="DJ21" s="539" t="str">
        <f t="shared" si="12"/>
        <v>Caribbean</v>
      </c>
      <c r="DK21" s="539" t="e">
        <f>VLOOKUP(DH21,#REF!,1)</f>
        <v>#REF!</v>
      </c>
      <c r="DL21" s="539" t="e">
        <f>VLOOKUP(DK21,#REF!,2,FALSE)</f>
        <v>#REF!</v>
      </c>
      <c r="DN21" s="539" t="s">
        <v>2168</v>
      </c>
      <c r="DO21" s="539" t="s">
        <v>2169</v>
      </c>
    </row>
    <row r="22" spans="3:119" ht="40.5" customHeight="1">
      <c r="C22" s="463" t="s">
        <v>2186</v>
      </c>
      <c r="D22" s="519"/>
      <c r="E22" s="731">
        <v>962</v>
      </c>
      <c r="F22" s="520" t="s">
        <v>2079</v>
      </c>
      <c r="G22" s="521" t="s">
        <v>4368</v>
      </c>
      <c r="H22" s="520"/>
      <c r="I22" s="521"/>
      <c r="J22" s="520"/>
      <c r="L22" s="522" t="s">
        <v>2069</v>
      </c>
      <c r="P22" s="738">
        <f t="shared" si="27"/>
        <v>2626.3671360000008</v>
      </c>
      <c r="X22" s="528" t="s">
        <v>39</v>
      </c>
      <c r="Y22" s="517">
        <v>500</v>
      </c>
      <c r="Z22" s="517">
        <v>3700</v>
      </c>
      <c r="AA22" s="527" t="s">
        <v>2171</v>
      </c>
      <c r="AW22" s="1395" t="s">
        <v>2741</v>
      </c>
      <c r="AX22" s="1394" t="s">
        <v>2086</v>
      </c>
      <c r="AY22" s="1396" t="s">
        <v>2167</v>
      </c>
      <c r="AZ22" s="1395">
        <v>424</v>
      </c>
      <c r="BA22" s="527" t="s">
        <v>1977</v>
      </c>
      <c r="BB22" s="551">
        <v>4.78</v>
      </c>
      <c r="BC22" s="534" t="s">
        <v>2006</v>
      </c>
      <c r="BD22" s="536"/>
      <c r="BE22" s="536"/>
      <c r="BF22" s="534"/>
      <c r="BG22" s="536"/>
      <c r="BH22" s="537">
        <f t="shared" si="19"/>
        <v>17</v>
      </c>
      <c r="BI22" s="537">
        <f t="shared" si="20"/>
        <v>5.0999999999999996</v>
      </c>
      <c r="BJ22" s="537">
        <f t="shared" si="21"/>
        <v>46.9</v>
      </c>
      <c r="BK22" s="537">
        <f t="shared" si="22"/>
        <v>2.4</v>
      </c>
      <c r="BL22" s="537">
        <f t="shared" si="23"/>
        <v>9.5</v>
      </c>
      <c r="BM22" s="537">
        <f t="shared" si="24"/>
        <v>5.6</v>
      </c>
      <c r="BN22" s="537">
        <f t="shared" si="25"/>
        <v>9.9</v>
      </c>
      <c r="BO22" s="537">
        <f t="shared" si="26"/>
        <v>3.5999999999999943</v>
      </c>
      <c r="BP22" s="537">
        <f t="shared" si="18"/>
        <v>100</v>
      </c>
      <c r="BQ22" s="534" t="s">
        <v>1979</v>
      </c>
      <c r="BR22" s="556">
        <v>8.8539999999999994E-2</v>
      </c>
      <c r="BS22" s="556">
        <v>8.8539999999999994E-2</v>
      </c>
      <c r="BT22" s="556">
        <v>1.719E-2</v>
      </c>
      <c r="BU22" s="556">
        <v>7.3859999999999995E-2</v>
      </c>
      <c r="BV22" s="556">
        <v>4.929E-2</v>
      </c>
      <c r="BW22" s="557" t="s">
        <v>2275</v>
      </c>
      <c r="BX22" s="534" t="s">
        <v>2276</v>
      </c>
      <c r="DH22" s="539" t="str">
        <f t="shared" si="10"/>
        <v>Trinidad and Tobago</v>
      </c>
      <c r="DI22" s="539" t="str">
        <f t="shared" si="11"/>
        <v>Americas</v>
      </c>
      <c r="DJ22" s="539" t="str">
        <f t="shared" si="12"/>
        <v>Caribbean</v>
      </c>
      <c r="DK22" s="539" t="e">
        <f>VLOOKUP(DH22,#REF!,1)</f>
        <v>#REF!</v>
      </c>
      <c r="DL22" s="539" t="e">
        <f>VLOOKUP(DK22,#REF!,2,FALSE)</f>
        <v>#REF!</v>
      </c>
      <c r="DN22" s="539" t="s">
        <v>2173</v>
      </c>
      <c r="DO22" s="539" t="s">
        <v>2174</v>
      </c>
    </row>
    <row r="23" spans="3:119">
      <c r="C23" s="463" t="s">
        <v>4379</v>
      </c>
      <c r="D23" s="519"/>
      <c r="E23" s="731">
        <v>771</v>
      </c>
      <c r="F23" s="520" t="s">
        <v>2079</v>
      </c>
      <c r="G23" s="521" t="s">
        <v>4368</v>
      </c>
      <c r="H23" s="520"/>
      <c r="I23" s="521"/>
      <c r="J23" s="520"/>
      <c r="L23" s="522" t="s">
        <v>19</v>
      </c>
      <c r="P23" s="737">
        <f>(P9+(Q9*$E$3)+(R9*$E$4))*O9</f>
        <v>2468.5826999999995</v>
      </c>
      <c r="X23" s="528" t="s">
        <v>40</v>
      </c>
      <c r="Y23" s="517">
        <v>3700</v>
      </c>
      <c r="Z23" s="517" t="s">
        <v>2176</v>
      </c>
      <c r="AA23" s="527" t="s">
        <v>2171</v>
      </c>
      <c r="AW23" s="1395" t="s">
        <v>2745</v>
      </c>
      <c r="AX23" s="1394" t="s">
        <v>2086</v>
      </c>
      <c r="AY23" s="1396" t="s">
        <v>2167</v>
      </c>
      <c r="AZ23" s="1395">
        <v>468</v>
      </c>
      <c r="BA23" s="527" t="s">
        <v>1977</v>
      </c>
      <c r="BB23" s="535">
        <v>5.33</v>
      </c>
      <c r="BC23" s="534" t="s">
        <v>2006</v>
      </c>
      <c r="BD23" s="548">
        <v>5.7500000000000002E-2</v>
      </c>
      <c r="BE23" s="548">
        <v>3.5000000000000003E-2</v>
      </c>
      <c r="BF23" s="534" t="s">
        <v>2179</v>
      </c>
      <c r="BG23" s="536"/>
      <c r="BH23" s="537">
        <f t="shared" si="19"/>
        <v>17</v>
      </c>
      <c r="BI23" s="537">
        <f t="shared" si="20"/>
        <v>5.0999999999999996</v>
      </c>
      <c r="BJ23" s="537">
        <f t="shared" si="21"/>
        <v>46.9</v>
      </c>
      <c r="BK23" s="537">
        <f t="shared" si="22"/>
        <v>2.4</v>
      </c>
      <c r="BL23" s="537">
        <f t="shared" si="23"/>
        <v>9.5</v>
      </c>
      <c r="BM23" s="537">
        <f t="shared" si="24"/>
        <v>5.6</v>
      </c>
      <c r="BN23" s="537">
        <f t="shared" si="25"/>
        <v>9.9</v>
      </c>
      <c r="BO23" s="537">
        <f t="shared" si="26"/>
        <v>3.5999999999999943</v>
      </c>
      <c r="BP23" s="537">
        <f t="shared" si="18"/>
        <v>100</v>
      </c>
      <c r="BQ23" s="534" t="s">
        <v>1979</v>
      </c>
      <c r="BR23" s="556">
        <v>8.8539999999999994E-2</v>
      </c>
      <c r="BS23" s="556">
        <v>8.8539999999999994E-2</v>
      </c>
      <c r="BT23" s="556">
        <v>1.719E-2</v>
      </c>
      <c r="BU23" s="556">
        <v>7.3859999999999995E-2</v>
      </c>
      <c r="BV23" s="556">
        <v>4.929E-2</v>
      </c>
      <c r="BW23" s="557" t="s">
        <v>2275</v>
      </c>
      <c r="BX23" s="534" t="s">
        <v>2276</v>
      </c>
      <c r="DH23" s="539" t="str">
        <f t="shared" si="10"/>
        <v>Turks and Caicos Islands (U.K.)</v>
      </c>
      <c r="DI23" s="539" t="str">
        <f t="shared" si="11"/>
        <v>Americas</v>
      </c>
      <c r="DJ23" s="539" t="str">
        <f t="shared" si="12"/>
        <v>Caribbean</v>
      </c>
      <c r="DK23" s="539" t="e">
        <f>VLOOKUP(DH23,#REF!,1)</f>
        <v>#REF!</v>
      </c>
      <c r="DL23" s="539" t="e">
        <f>VLOOKUP(DK23,#REF!,2,FALSE)</f>
        <v>#REF!</v>
      </c>
      <c r="DN23" s="539" t="s">
        <v>2180</v>
      </c>
      <c r="DO23" s="539" t="s">
        <v>2181</v>
      </c>
    </row>
    <row r="24" spans="3:119">
      <c r="C24" s="463" t="s">
        <v>2193</v>
      </c>
      <c r="D24" s="519"/>
      <c r="E24" s="731">
        <v>914</v>
      </c>
      <c r="F24" s="520" t="s">
        <v>2079</v>
      </c>
      <c r="G24" s="521" t="s">
        <v>4368</v>
      </c>
      <c r="H24" s="520"/>
      <c r="I24" s="521"/>
      <c r="J24" s="520"/>
      <c r="L24" s="522" t="s">
        <v>30</v>
      </c>
      <c r="P24" s="737">
        <f>(P10+(Q10*$E$3)+(R10*$E$4))*O10</f>
        <v>3058.4735999999998</v>
      </c>
      <c r="X24" s="555"/>
      <c r="AW24" s="1395" t="s">
        <v>2758</v>
      </c>
      <c r="AX24" s="1394" t="s">
        <v>2086</v>
      </c>
      <c r="AY24" s="1396" t="s">
        <v>2167</v>
      </c>
      <c r="AZ24" s="1395">
        <v>375</v>
      </c>
      <c r="BA24" s="527" t="s">
        <v>1977</v>
      </c>
      <c r="BB24" s="535">
        <v>13.6</v>
      </c>
      <c r="BC24" s="534" t="s">
        <v>2006</v>
      </c>
      <c r="BD24" s="536"/>
      <c r="BE24" s="536"/>
      <c r="BF24" s="534"/>
      <c r="BG24" s="536"/>
      <c r="BH24" s="537">
        <f t="shared" si="19"/>
        <v>17</v>
      </c>
      <c r="BI24" s="537">
        <f t="shared" si="20"/>
        <v>5.0999999999999996</v>
      </c>
      <c r="BJ24" s="537">
        <f t="shared" si="21"/>
        <v>46.9</v>
      </c>
      <c r="BK24" s="537">
        <f t="shared" si="22"/>
        <v>2.4</v>
      </c>
      <c r="BL24" s="537">
        <f t="shared" si="23"/>
        <v>9.5</v>
      </c>
      <c r="BM24" s="537">
        <f t="shared" si="24"/>
        <v>5.6</v>
      </c>
      <c r="BN24" s="537">
        <f t="shared" si="25"/>
        <v>9.9</v>
      </c>
      <c r="BO24" s="537">
        <f t="shared" si="26"/>
        <v>3.5999999999999943</v>
      </c>
      <c r="BP24" s="537">
        <f t="shared" si="18"/>
        <v>100</v>
      </c>
      <c r="BQ24" s="534" t="s">
        <v>1979</v>
      </c>
      <c r="BR24" s="556">
        <v>8.8539999999999994E-2</v>
      </c>
      <c r="BS24" s="556">
        <v>8.8539999999999994E-2</v>
      </c>
      <c r="BT24" s="556">
        <v>1.719E-2</v>
      </c>
      <c r="BU24" s="556">
        <v>7.3859999999999995E-2</v>
      </c>
      <c r="BV24" s="556">
        <v>4.929E-2</v>
      </c>
      <c r="BW24" s="557" t="s">
        <v>2275</v>
      </c>
      <c r="BX24" s="534" t="s">
        <v>2276</v>
      </c>
      <c r="DH24" s="539" t="str">
        <f t="shared" si="10"/>
        <v>Virgin Islands (U.S.)</v>
      </c>
      <c r="DI24" s="539" t="str">
        <f t="shared" si="11"/>
        <v>Americas</v>
      </c>
      <c r="DJ24" s="539" t="str">
        <f t="shared" si="12"/>
        <v>Caribbean</v>
      </c>
      <c r="DL24" s="539" t="s">
        <v>35</v>
      </c>
      <c r="DN24" s="539" t="s">
        <v>2184</v>
      </c>
      <c r="DO24" s="539" t="s">
        <v>2185</v>
      </c>
    </row>
    <row r="25" spans="3:119">
      <c r="C25" s="463" t="s">
        <v>4380</v>
      </c>
      <c r="D25" s="519"/>
      <c r="E25" s="731">
        <v>135</v>
      </c>
      <c r="F25" s="520" t="s">
        <v>2079</v>
      </c>
      <c r="G25" s="521" t="s">
        <v>4368</v>
      </c>
      <c r="H25" s="520"/>
      <c r="I25" s="521"/>
      <c r="J25" s="520"/>
      <c r="L25" s="522" t="s">
        <v>18</v>
      </c>
      <c r="P25" s="737">
        <f t="shared" si="27"/>
        <v>1754.7567840000002</v>
      </c>
      <c r="X25" s="539" t="s">
        <v>2187</v>
      </c>
      <c r="Y25" s="539">
        <v>1.60934</v>
      </c>
      <c r="Z25" s="539" t="s">
        <v>2188</v>
      </c>
      <c r="AW25" s="1394" t="s">
        <v>45</v>
      </c>
      <c r="AX25" s="1394" t="s">
        <v>2086</v>
      </c>
      <c r="AY25" s="1396" t="s">
        <v>2155</v>
      </c>
      <c r="AZ25" s="1394">
        <v>36.5</v>
      </c>
      <c r="BA25" s="527" t="s">
        <v>2366</v>
      </c>
      <c r="BB25" s="535">
        <v>10.025212186531689</v>
      </c>
      <c r="BC25" s="534" t="s">
        <v>2190</v>
      </c>
      <c r="BD25" s="536"/>
      <c r="BE25" s="536"/>
      <c r="BF25" s="534"/>
      <c r="BG25" s="536"/>
      <c r="BH25" s="537">
        <f t="shared" si="19"/>
        <v>13.7</v>
      </c>
      <c r="BI25" s="537">
        <f t="shared" si="20"/>
        <v>2.6</v>
      </c>
      <c r="BJ25" s="537">
        <f t="shared" si="21"/>
        <v>43.8</v>
      </c>
      <c r="BK25" s="537">
        <f t="shared" si="22"/>
        <v>13.5</v>
      </c>
      <c r="BL25" s="537">
        <f t="shared" si="23"/>
        <v>9.5</v>
      </c>
      <c r="BM25" s="537">
        <f t="shared" si="24"/>
        <v>5.6</v>
      </c>
      <c r="BN25" s="537">
        <f t="shared" si="25"/>
        <v>6.7</v>
      </c>
      <c r="BO25" s="537">
        <f t="shared" si="26"/>
        <v>4.6000000000000085</v>
      </c>
      <c r="BP25" s="537">
        <f t="shared" si="18"/>
        <v>100</v>
      </c>
      <c r="BQ25" s="534" t="s">
        <v>1979</v>
      </c>
      <c r="BR25" s="556">
        <v>8.8539999999999994E-2</v>
      </c>
      <c r="BS25" s="556">
        <v>8.8539999999999994E-2</v>
      </c>
      <c r="BT25" s="556">
        <v>1.719E-2</v>
      </c>
      <c r="BU25" s="556">
        <v>7.3859999999999995E-2</v>
      </c>
      <c r="BV25" s="556">
        <v>4.929E-2</v>
      </c>
      <c r="BW25" s="557" t="s">
        <v>2275</v>
      </c>
      <c r="BX25" s="534" t="s">
        <v>2276</v>
      </c>
      <c r="DH25" s="539" t="str">
        <f t="shared" si="10"/>
        <v>Costa Rica</v>
      </c>
      <c r="DI25" s="539" t="str">
        <f t="shared" si="11"/>
        <v>Americas</v>
      </c>
      <c r="DJ25" s="539" t="str">
        <f t="shared" si="12"/>
        <v>Central America</v>
      </c>
      <c r="DL25" s="539" t="s">
        <v>35</v>
      </c>
      <c r="DN25" s="539" t="s">
        <v>2191</v>
      </c>
      <c r="DO25" s="539" t="s">
        <v>2192</v>
      </c>
    </row>
    <row r="26" spans="3:119" ht="25.5">
      <c r="C26" s="463" t="s">
        <v>2197</v>
      </c>
      <c r="D26" s="519"/>
      <c r="E26" s="731">
        <v>1600</v>
      </c>
      <c r="F26" s="520" t="s">
        <v>2079</v>
      </c>
      <c r="G26" s="521" t="s">
        <v>4368</v>
      </c>
      <c r="H26" s="520"/>
      <c r="I26" s="521"/>
      <c r="J26" s="520"/>
      <c r="L26" s="528" t="s">
        <v>2111</v>
      </c>
      <c r="P26" s="737">
        <f t="shared" si="27"/>
        <v>1579.2811056000003</v>
      </c>
      <c r="AW26" s="1395" t="s">
        <v>2418</v>
      </c>
      <c r="AX26" s="1394" t="s">
        <v>2086</v>
      </c>
      <c r="AY26" s="1396" t="s">
        <v>2155</v>
      </c>
      <c r="AZ26" s="1395">
        <v>344</v>
      </c>
      <c r="BA26" s="527" t="s">
        <v>1977</v>
      </c>
      <c r="BB26" s="535">
        <v>9.3894684857089938</v>
      </c>
      <c r="BC26" s="534" t="s">
        <v>2087</v>
      </c>
      <c r="BD26" s="536"/>
      <c r="BE26" s="536"/>
      <c r="BF26" s="534"/>
      <c r="BG26" s="536"/>
      <c r="BH26" s="537">
        <f t="shared" si="19"/>
        <v>13.7</v>
      </c>
      <c r="BI26" s="537">
        <f t="shared" si="20"/>
        <v>2.6</v>
      </c>
      <c r="BJ26" s="537">
        <f t="shared" si="21"/>
        <v>43.8</v>
      </c>
      <c r="BK26" s="537">
        <f t="shared" si="22"/>
        <v>13.5</v>
      </c>
      <c r="BL26" s="537">
        <f t="shared" si="23"/>
        <v>9.5</v>
      </c>
      <c r="BM26" s="537">
        <f t="shared" si="24"/>
        <v>5.6</v>
      </c>
      <c r="BN26" s="537">
        <f t="shared" si="25"/>
        <v>6.7</v>
      </c>
      <c r="BO26" s="537">
        <f t="shared" si="26"/>
        <v>4.6000000000000085</v>
      </c>
      <c r="BP26" s="537">
        <f t="shared" si="18"/>
        <v>100</v>
      </c>
      <c r="BQ26" s="534" t="s">
        <v>1979</v>
      </c>
      <c r="BR26" s="556">
        <v>8.8539999999999994E-2</v>
      </c>
      <c r="BS26" s="556">
        <v>8.8539999999999994E-2</v>
      </c>
      <c r="BT26" s="556">
        <v>1.719E-2</v>
      </c>
      <c r="BU26" s="556">
        <v>7.3859999999999995E-2</v>
      </c>
      <c r="BV26" s="556">
        <v>4.929E-2</v>
      </c>
      <c r="BW26" s="557" t="s">
        <v>2275</v>
      </c>
      <c r="BX26" s="534" t="s">
        <v>2276</v>
      </c>
      <c r="DH26" s="539" t="str">
        <f t="shared" si="10"/>
        <v>El Salvador</v>
      </c>
      <c r="DI26" s="539" t="str">
        <f t="shared" si="11"/>
        <v>Americas</v>
      </c>
      <c r="DJ26" s="539" t="str">
        <f t="shared" si="12"/>
        <v>Central America</v>
      </c>
      <c r="DL26" s="539" t="s">
        <v>35</v>
      </c>
      <c r="DN26" s="539" t="s">
        <v>2195</v>
      </c>
      <c r="DO26" s="539" t="s">
        <v>2196</v>
      </c>
    </row>
    <row r="27" spans="3:119">
      <c r="C27" s="463" t="s">
        <v>4381</v>
      </c>
      <c r="D27" s="519"/>
      <c r="E27" s="731">
        <v>0.5</v>
      </c>
      <c r="F27" s="520" t="s">
        <v>2079</v>
      </c>
      <c r="G27" s="521" t="s">
        <v>4368</v>
      </c>
      <c r="H27" s="520"/>
      <c r="I27" s="521"/>
      <c r="J27" s="520"/>
      <c r="AW27" s="1394" t="s">
        <v>2500</v>
      </c>
      <c r="AX27" s="1394" t="s">
        <v>2086</v>
      </c>
      <c r="AY27" s="1396" t="s">
        <v>2155</v>
      </c>
      <c r="AZ27" s="1394">
        <v>367.1</v>
      </c>
      <c r="BA27" s="527" t="s">
        <v>2501</v>
      </c>
      <c r="BB27" s="535">
        <v>3.94</v>
      </c>
      <c r="BC27" s="534" t="s">
        <v>2006</v>
      </c>
      <c r="BD27" s="536"/>
      <c r="BE27" s="536"/>
      <c r="BF27" s="534"/>
      <c r="BG27" s="536"/>
      <c r="BH27" s="537">
        <f t="shared" si="19"/>
        <v>13.7</v>
      </c>
      <c r="BI27" s="537">
        <f t="shared" si="20"/>
        <v>2.6</v>
      </c>
      <c r="BJ27" s="537">
        <f t="shared" si="21"/>
        <v>43.8</v>
      </c>
      <c r="BK27" s="537">
        <f t="shared" si="22"/>
        <v>13.5</v>
      </c>
      <c r="BL27" s="537">
        <f t="shared" si="23"/>
        <v>9.5</v>
      </c>
      <c r="BM27" s="537">
        <f t="shared" si="24"/>
        <v>5.6</v>
      </c>
      <c r="BN27" s="537">
        <f t="shared" si="25"/>
        <v>6.7</v>
      </c>
      <c r="BO27" s="537">
        <f t="shared" si="26"/>
        <v>4.6000000000000085</v>
      </c>
      <c r="BP27" s="537">
        <f t="shared" si="18"/>
        <v>100</v>
      </c>
      <c r="BQ27" s="534" t="s">
        <v>1979</v>
      </c>
      <c r="BR27" s="556">
        <v>8.8539999999999994E-2</v>
      </c>
      <c r="BS27" s="556">
        <v>8.8539999999999994E-2</v>
      </c>
      <c r="BT27" s="556">
        <v>1.719E-2</v>
      </c>
      <c r="BU27" s="556">
        <v>7.3859999999999995E-2</v>
      </c>
      <c r="BV27" s="556">
        <v>4.929E-2</v>
      </c>
      <c r="BW27" s="557" t="s">
        <v>2275</v>
      </c>
      <c r="BX27" s="534" t="s">
        <v>2276</v>
      </c>
      <c r="DH27" s="539" t="str">
        <f t="shared" si="10"/>
        <v>Guatemala</v>
      </c>
      <c r="DI27" s="539" t="str">
        <f t="shared" si="11"/>
        <v>Americas</v>
      </c>
      <c r="DJ27" s="539" t="str">
        <f t="shared" si="12"/>
        <v>Central America</v>
      </c>
      <c r="DL27" s="539" t="s">
        <v>35</v>
      </c>
      <c r="DN27" s="539" t="s">
        <v>2199</v>
      </c>
      <c r="DO27" s="539" t="s">
        <v>2200</v>
      </c>
    </row>
    <row r="28" spans="3:119">
      <c r="C28" s="463" t="s">
        <v>4382</v>
      </c>
      <c r="D28" s="519"/>
      <c r="E28" s="731">
        <v>1.37</v>
      </c>
      <c r="F28" s="520" t="s">
        <v>2079</v>
      </c>
      <c r="G28" s="521" t="s">
        <v>4368</v>
      </c>
      <c r="H28" s="520"/>
      <c r="I28" s="521"/>
      <c r="J28" s="520"/>
      <c r="AW28" s="1395" t="s">
        <v>2519</v>
      </c>
      <c r="AX28" s="1394" t="s">
        <v>2086</v>
      </c>
      <c r="AY28" s="1396" t="s">
        <v>2155</v>
      </c>
      <c r="AZ28" s="1395">
        <v>473</v>
      </c>
      <c r="BA28" s="527" t="s">
        <v>1977</v>
      </c>
      <c r="BB28" s="535">
        <v>11.4</v>
      </c>
      <c r="BC28" s="534" t="s">
        <v>2006</v>
      </c>
      <c r="BD28" s="536"/>
      <c r="BE28" s="536"/>
      <c r="BF28" s="534"/>
      <c r="BG28" s="536"/>
      <c r="BH28" s="537">
        <f t="shared" si="19"/>
        <v>13.7</v>
      </c>
      <c r="BI28" s="537">
        <f t="shared" si="20"/>
        <v>2.6</v>
      </c>
      <c r="BJ28" s="537">
        <f t="shared" si="21"/>
        <v>43.8</v>
      </c>
      <c r="BK28" s="537">
        <f t="shared" si="22"/>
        <v>13.5</v>
      </c>
      <c r="BL28" s="537">
        <f t="shared" si="23"/>
        <v>9.5</v>
      </c>
      <c r="BM28" s="537">
        <f t="shared" si="24"/>
        <v>5.6</v>
      </c>
      <c r="BN28" s="537">
        <f t="shared" si="25"/>
        <v>6.7</v>
      </c>
      <c r="BO28" s="537">
        <f t="shared" si="26"/>
        <v>4.6000000000000085</v>
      </c>
      <c r="BP28" s="537">
        <f t="shared" si="18"/>
        <v>100</v>
      </c>
      <c r="BQ28" s="534" t="s">
        <v>1979</v>
      </c>
      <c r="BR28" s="556">
        <v>8.8539999999999994E-2</v>
      </c>
      <c r="BS28" s="556">
        <v>8.8539999999999994E-2</v>
      </c>
      <c r="BT28" s="556">
        <v>1.719E-2</v>
      </c>
      <c r="BU28" s="556">
        <v>7.3859999999999995E-2</v>
      </c>
      <c r="BV28" s="556">
        <v>4.929E-2</v>
      </c>
      <c r="BW28" s="557" t="s">
        <v>2275</v>
      </c>
      <c r="BX28" s="534" t="s">
        <v>2276</v>
      </c>
      <c r="DH28" s="539" t="str">
        <f t="shared" si="10"/>
        <v>Honduras</v>
      </c>
      <c r="DI28" s="539" t="str">
        <f t="shared" si="11"/>
        <v>Americas</v>
      </c>
      <c r="DJ28" s="539" t="str">
        <f t="shared" si="12"/>
        <v>Central America</v>
      </c>
      <c r="DL28" s="539" t="s">
        <v>35</v>
      </c>
      <c r="DN28" s="539" t="s">
        <v>2202</v>
      </c>
      <c r="DO28" s="539" t="s">
        <v>2203</v>
      </c>
    </row>
    <row r="29" spans="3:119" ht="25.5">
      <c r="C29" s="463" t="s">
        <v>4383</v>
      </c>
      <c r="D29" s="519"/>
      <c r="E29" s="731">
        <v>26</v>
      </c>
      <c r="F29" s="520" t="s">
        <v>2079</v>
      </c>
      <c r="G29" s="521" t="s">
        <v>4368</v>
      </c>
      <c r="H29" s="520"/>
      <c r="I29" s="521"/>
      <c r="J29" s="520"/>
      <c r="AW29" s="1394" t="s">
        <v>56</v>
      </c>
      <c r="AX29" s="1394" t="s">
        <v>2086</v>
      </c>
      <c r="AY29" s="1396" t="s">
        <v>2155</v>
      </c>
      <c r="AZ29" s="1394">
        <v>505</v>
      </c>
      <c r="BA29" s="527" t="s">
        <v>2668</v>
      </c>
      <c r="BB29" s="535">
        <v>9.3894684857089938</v>
      </c>
      <c r="BC29" s="534" t="s">
        <v>2087</v>
      </c>
      <c r="BD29" s="536"/>
      <c r="BE29" s="536"/>
      <c r="BF29" s="534"/>
      <c r="BG29" s="536"/>
      <c r="BH29" s="537">
        <f t="shared" si="19"/>
        <v>13.7</v>
      </c>
      <c r="BI29" s="537">
        <f t="shared" si="20"/>
        <v>2.6</v>
      </c>
      <c r="BJ29" s="537">
        <f t="shared" si="21"/>
        <v>43.8</v>
      </c>
      <c r="BK29" s="537">
        <f t="shared" si="22"/>
        <v>13.5</v>
      </c>
      <c r="BL29" s="537">
        <f t="shared" si="23"/>
        <v>9.5</v>
      </c>
      <c r="BM29" s="537">
        <f t="shared" si="24"/>
        <v>5.6</v>
      </c>
      <c r="BN29" s="537">
        <f t="shared" si="25"/>
        <v>6.7</v>
      </c>
      <c r="BO29" s="537">
        <f t="shared" si="26"/>
        <v>4.6000000000000085</v>
      </c>
      <c r="BP29" s="537">
        <f t="shared" si="18"/>
        <v>100</v>
      </c>
      <c r="BQ29" s="534" t="s">
        <v>1979</v>
      </c>
      <c r="BR29" s="556">
        <v>8.8539999999999994E-2</v>
      </c>
      <c r="BS29" s="556">
        <v>8.8539999999999994E-2</v>
      </c>
      <c r="BT29" s="556">
        <v>1.719E-2</v>
      </c>
      <c r="BU29" s="556">
        <v>7.3859999999999995E-2</v>
      </c>
      <c r="BV29" s="556">
        <v>4.929E-2</v>
      </c>
      <c r="BW29" s="557" t="s">
        <v>2275</v>
      </c>
      <c r="BX29" s="534" t="s">
        <v>2276</v>
      </c>
      <c r="DH29" s="539" t="str">
        <f t="shared" si="10"/>
        <v>Mexico</v>
      </c>
      <c r="DI29" s="539" t="str">
        <f t="shared" si="11"/>
        <v>Americas</v>
      </c>
      <c r="DJ29" s="539" t="str">
        <f t="shared" si="12"/>
        <v>Central America</v>
      </c>
      <c r="DL29" s="539" t="s">
        <v>35</v>
      </c>
      <c r="DN29" s="539" t="s">
        <v>2205</v>
      </c>
      <c r="DO29" s="539" t="s">
        <v>2206</v>
      </c>
    </row>
    <row r="30" spans="3:119">
      <c r="C30" s="463" t="s">
        <v>4384</v>
      </c>
      <c r="D30" s="519"/>
      <c r="E30" s="731">
        <v>2.08</v>
      </c>
      <c r="F30" s="520" t="s">
        <v>2079</v>
      </c>
      <c r="G30" s="521" t="s">
        <v>4368</v>
      </c>
      <c r="H30" s="520"/>
      <c r="I30" s="521"/>
      <c r="J30" s="520"/>
      <c r="AW30" s="1395" t="s">
        <v>2689</v>
      </c>
      <c r="AX30" s="1394" t="s">
        <v>2086</v>
      </c>
      <c r="AY30" s="1396" t="s">
        <v>2155</v>
      </c>
      <c r="AZ30" s="1395">
        <v>429</v>
      </c>
      <c r="BA30" s="527" t="s">
        <v>1977</v>
      </c>
      <c r="BB30" s="535">
        <v>9.18</v>
      </c>
      <c r="BC30" s="534" t="s">
        <v>2006</v>
      </c>
      <c r="BD30" s="536"/>
      <c r="BE30" s="536"/>
      <c r="BF30" s="534"/>
      <c r="BG30" s="536"/>
      <c r="BH30" s="537">
        <f t="shared" si="19"/>
        <v>13.7</v>
      </c>
      <c r="BI30" s="537">
        <f t="shared" si="20"/>
        <v>2.6</v>
      </c>
      <c r="BJ30" s="537">
        <f t="shared" si="21"/>
        <v>43.8</v>
      </c>
      <c r="BK30" s="537">
        <f t="shared" si="22"/>
        <v>13.5</v>
      </c>
      <c r="BL30" s="537">
        <f t="shared" si="23"/>
        <v>9.5</v>
      </c>
      <c r="BM30" s="537">
        <f t="shared" si="24"/>
        <v>5.6</v>
      </c>
      <c r="BN30" s="537">
        <f t="shared" si="25"/>
        <v>6.7</v>
      </c>
      <c r="BO30" s="537">
        <f t="shared" si="26"/>
        <v>4.6000000000000085</v>
      </c>
      <c r="BP30" s="537">
        <f t="shared" si="18"/>
        <v>100</v>
      </c>
      <c r="BQ30" s="534" t="s">
        <v>1979</v>
      </c>
      <c r="BR30" s="556">
        <v>8.8539999999999994E-2</v>
      </c>
      <c r="BS30" s="556">
        <v>8.8539999999999994E-2</v>
      </c>
      <c r="BT30" s="556">
        <v>1.719E-2</v>
      </c>
      <c r="BU30" s="556">
        <v>7.3859999999999995E-2</v>
      </c>
      <c r="BV30" s="556">
        <v>4.929E-2</v>
      </c>
      <c r="BW30" s="557" t="s">
        <v>2275</v>
      </c>
      <c r="BX30" s="534" t="s">
        <v>2276</v>
      </c>
      <c r="DH30" s="539" t="str">
        <f t="shared" si="10"/>
        <v>Nicaragua</v>
      </c>
      <c r="DI30" s="539" t="str">
        <f t="shared" si="11"/>
        <v>Americas</v>
      </c>
      <c r="DJ30" s="539" t="str">
        <f t="shared" si="12"/>
        <v>Central America</v>
      </c>
      <c r="DL30" s="539" t="s">
        <v>35</v>
      </c>
      <c r="DN30" s="539" t="s">
        <v>2210</v>
      </c>
      <c r="DO30" s="539" t="s">
        <v>2211</v>
      </c>
    </row>
    <row r="31" spans="3:119">
      <c r="C31" s="463" t="s">
        <v>1965</v>
      </c>
      <c r="D31" s="519"/>
      <c r="E31" s="731">
        <v>29.8</v>
      </c>
      <c r="F31" s="520"/>
      <c r="G31" s="521" t="s">
        <v>4368</v>
      </c>
      <c r="H31" s="520"/>
      <c r="I31" s="521"/>
      <c r="J31" s="520"/>
      <c r="AW31" s="1395" t="s">
        <v>2697</v>
      </c>
      <c r="AX31" s="1394" t="s">
        <v>2086</v>
      </c>
      <c r="AY31" s="1396" t="s">
        <v>2155</v>
      </c>
      <c r="AZ31" s="1395">
        <v>361</v>
      </c>
      <c r="BA31" s="527" t="s">
        <v>1977</v>
      </c>
      <c r="BB31" s="535">
        <v>5.43</v>
      </c>
      <c r="BC31" s="534" t="s">
        <v>2006</v>
      </c>
      <c r="BD31" s="548">
        <v>5.7500000000000002E-2</v>
      </c>
      <c r="BE31" s="548">
        <v>8.5000000000000006E-2</v>
      </c>
      <c r="BF31" s="534" t="s">
        <v>2179</v>
      </c>
      <c r="BG31" s="536"/>
      <c r="BH31" s="537">
        <f t="shared" si="19"/>
        <v>13.7</v>
      </c>
      <c r="BI31" s="537">
        <f t="shared" si="20"/>
        <v>2.6</v>
      </c>
      <c r="BJ31" s="537">
        <f t="shared" si="21"/>
        <v>43.8</v>
      </c>
      <c r="BK31" s="537">
        <f t="shared" si="22"/>
        <v>13.5</v>
      </c>
      <c r="BL31" s="537">
        <f t="shared" si="23"/>
        <v>9.5</v>
      </c>
      <c r="BM31" s="537">
        <f t="shared" si="24"/>
        <v>5.6</v>
      </c>
      <c r="BN31" s="537">
        <f t="shared" si="25"/>
        <v>6.7</v>
      </c>
      <c r="BO31" s="537">
        <f t="shared" si="26"/>
        <v>4.6000000000000085</v>
      </c>
      <c r="BP31" s="537">
        <f t="shared" si="18"/>
        <v>100</v>
      </c>
      <c r="BQ31" s="534" t="s">
        <v>1979</v>
      </c>
      <c r="BR31" s="556">
        <v>8.8539999999999994E-2</v>
      </c>
      <c r="BS31" s="556">
        <v>8.8539999999999994E-2</v>
      </c>
      <c r="BT31" s="556">
        <v>1.719E-2</v>
      </c>
      <c r="BU31" s="556">
        <v>7.3859999999999995E-2</v>
      </c>
      <c r="BV31" s="556">
        <v>4.929E-2</v>
      </c>
      <c r="BW31" s="557" t="s">
        <v>2275</v>
      </c>
      <c r="BX31" s="534" t="s">
        <v>2276</v>
      </c>
      <c r="DH31" s="539" t="str">
        <f t="shared" si="10"/>
        <v>Panama</v>
      </c>
      <c r="DI31" s="539" t="str">
        <f t="shared" si="11"/>
        <v>Americas</v>
      </c>
      <c r="DJ31" s="539" t="str">
        <f t="shared" si="12"/>
        <v>Central America</v>
      </c>
      <c r="DK31" s="539" t="e">
        <f>VLOOKUP(DH31,#REF!,1)</f>
        <v>#REF!</v>
      </c>
      <c r="DL31" s="539" t="e">
        <f>VLOOKUP(DK31,#REF!,2,FALSE)</f>
        <v>#REF!</v>
      </c>
      <c r="DN31" s="539" t="s">
        <v>2214</v>
      </c>
      <c r="DO31" s="539" t="s">
        <v>2215</v>
      </c>
    </row>
    <row r="32" spans="3:119" ht="25.5">
      <c r="C32" s="463" t="s">
        <v>4385</v>
      </c>
      <c r="D32" s="519"/>
      <c r="E32" s="731">
        <v>27</v>
      </c>
      <c r="F32" s="520" t="s">
        <v>2079</v>
      </c>
      <c r="G32" s="521" t="s">
        <v>4368</v>
      </c>
      <c r="H32" s="520"/>
      <c r="I32" s="521"/>
      <c r="J32" s="520"/>
      <c r="AW32" s="1395" t="s">
        <v>2262</v>
      </c>
      <c r="AX32" s="1395" t="s">
        <v>2032</v>
      </c>
      <c r="AY32" s="1396" t="s">
        <v>2063</v>
      </c>
      <c r="AZ32" s="1395">
        <v>316</v>
      </c>
      <c r="BA32" s="527" t="s">
        <v>1977</v>
      </c>
      <c r="BB32" s="535">
        <v>15.618667277425265</v>
      </c>
      <c r="BC32" s="534" t="s">
        <v>2218</v>
      </c>
      <c r="BD32" s="536"/>
      <c r="BE32" s="536"/>
      <c r="BF32" s="534"/>
      <c r="BG32" s="536"/>
      <c r="BH32" s="537">
        <f t="shared" si="19"/>
        <v>7.7</v>
      </c>
      <c r="BI32" s="537">
        <f t="shared" si="20"/>
        <v>1.7</v>
      </c>
      <c r="BJ32" s="537">
        <f t="shared" si="21"/>
        <v>53.9</v>
      </c>
      <c r="BK32" s="537">
        <f t="shared" si="22"/>
        <v>7</v>
      </c>
      <c r="BL32" s="537">
        <f t="shared" si="23"/>
        <v>9.5</v>
      </c>
      <c r="BM32" s="537">
        <f t="shared" si="24"/>
        <v>5.6</v>
      </c>
      <c r="BN32" s="537">
        <f t="shared" si="25"/>
        <v>5.5</v>
      </c>
      <c r="BO32" s="537">
        <f t="shared" si="26"/>
        <v>9.1000000000000085</v>
      </c>
      <c r="BP32" s="537">
        <f t="shared" si="18"/>
        <v>100</v>
      </c>
      <c r="BQ32" s="534" t="s">
        <v>1979</v>
      </c>
      <c r="BR32" s="556">
        <v>8.8539999999999994E-2</v>
      </c>
      <c r="BS32" s="556">
        <v>8.8539999999999994E-2</v>
      </c>
      <c r="BT32" s="556">
        <v>1.719E-2</v>
      </c>
      <c r="BU32" s="556">
        <v>7.3859999999999995E-2</v>
      </c>
      <c r="BV32" s="556">
        <v>4.929E-2</v>
      </c>
      <c r="BW32" s="557" t="s">
        <v>2275</v>
      </c>
      <c r="BX32" s="534" t="s">
        <v>2276</v>
      </c>
      <c r="DH32" s="539" t="str">
        <f t="shared" si="10"/>
        <v>Burundi</v>
      </c>
      <c r="DI32" s="539" t="str">
        <f t="shared" si="11"/>
        <v>Africa</v>
      </c>
      <c r="DJ32" s="539" t="str">
        <f t="shared" si="12"/>
        <v>Eastern Africa</v>
      </c>
      <c r="DL32" s="539" t="s">
        <v>35</v>
      </c>
      <c r="DN32" s="539" t="s">
        <v>2219</v>
      </c>
      <c r="DO32" s="539" t="s">
        <v>2220</v>
      </c>
    </row>
    <row r="33" spans="3:119" ht="25.5">
      <c r="C33" s="463" t="s">
        <v>4386</v>
      </c>
      <c r="D33" s="519"/>
      <c r="E33" s="731">
        <v>17400</v>
      </c>
      <c r="F33" s="520" t="s">
        <v>2079</v>
      </c>
      <c r="G33" s="521" t="s">
        <v>4368</v>
      </c>
      <c r="H33" s="520"/>
      <c r="I33" s="521"/>
      <c r="J33" s="520"/>
      <c r="AW33" s="1395" t="s">
        <v>2353</v>
      </c>
      <c r="AX33" s="1395" t="s">
        <v>2032</v>
      </c>
      <c r="AY33" s="1396" t="s">
        <v>2063</v>
      </c>
      <c r="AZ33" s="1395">
        <v>647</v>
      </c>
      <c r="BA33" s="527" t="s">
        <v>1977</v>
      </c>
      <c r="BB33" s="535">
        <v>13.490630673342661</v>
      </c>
      <c r="BC33" s="534" t="s">
        <v>2223</v>
      </c>
      <c r="BD33" s="536"/>
      <c r="BE33" s="536"/>
      <c r="BF33" s="534"/>
      <c r="BG33" s="536"/>
      <c r="BH33" s="537">
        <f t="shared" si="19"/>
        <v>7.7</v>
      </c>
      <c r="BI33" s="537">
        <f t="shared" si="20"/>
        <v>1.7</v>
      </c>
      <c r="BJ33" s="537">
        <f t="shared" si="21"/>
        <v>53.9</v>
      </c>
      <c r="BK33" s="537">
        <f t="shared" si="22"/>
        <v>7</v>
      </c>
      <c r="BL33" s="537">
        <f t="shared" si="23"/>
        <v>9.5</v>
      </c>
      <c r="BM33" s="537">
        <f t="shared" si="24"/>
        <v>5.6</v>
      </c>
      <c r="BN33" s="537">
        <f t="shared" si="25"/>
        <v>5.5</v>
      </c>
      <c r="BO33" s="537">
        <f t="shared" si="26"/>
        <v>9.1000000000000085</v>
      </c>
      <c r="BP33" s="537">
        <f t="shared" si="18"/>
        <v>100</v>
      </c>
      <c r="BQ33" s="534" t="s">
        <v>1979</v>
      </c>
      <c r="BR33" s="556">
        <v>8.8539999999999994E-2</v>
      </c>
      <c r="BS33" s="556">
        <v>8.8539999999999994E-2</v>
      </c>
      <c r="BT33" s="556">
        <v>1.719E-2</v>
      </c>
      <c r="BU33" s="556">
        <v>7.3859999999999995E-2</v>
      </c>
      <c r="BV33" s="556">
        <v>4.929E-2</v>
      </c>
      <c r="BW33" s="557" t="s">
        <v>2275</v>
      </c>
      <c r="BX33" s="534" t="s">
        <v>2276</v>
      </c>
      <c r="DH33" s="539" t="str">
        <f t="shared" si="10"/>
        <v>Comoros</v>
      </c>
      <c r="DI33" s="539" t="str">
        <f t="shared" si="11"/>
        <v>Africa</v>
      </c>
      <c r="DJ33" s="539" t="str">
        <f t="shared" si="12"/>
        <v>Eastern Africa</v>
      </c>
      <c r="DL33" s="539" t="s">
        <v>35</v>
      </c>
      <c r="DN33" s="539" t="s">
        <v>2224</v>
      </c>
      <c r="DO33" s="539" t="s">
        <v>2225</v>
      </c>
    </row>
    <row r="34" spans="3:119" ht="25.5">
      <c r="C34" s="463" t="s">
        <v>4387</v>
      </c>
      <c r="D34" s="519"/>
      <c r="E34" s="731">
        <v>273</v>
      </c>
      <c r="F34" s="520" t="s">
        <v>2079</v>
      </c>
      <c r="G34" s="521" t="s">
        <v>4368</v>
      </c>
      <c r="H34" s="520"/>
      <c r="I34" s="521"/>
      <c r="J34" s="520"/>
      <c r="AW34" s="1395" t="s">
        <v>2399</v>
      </c>
      <c r="AX34" s="1395" t="s">
        <v>2032</v>
      </c>
      <c r="AY34" s="1396" t="s">
        <v>2063</v>
      </c>
      <c r="AZ34" s="1395">
        <v>639</v>
      </c>
      <c r="BA34" s="527" t="s">
        <v>1977</v>
      </c>
      <c r="BB34" s="535">
        <v>9.3894684857089938</v>
      </c>
      <c r="BC34" s="534" t="s">
        <v>2087</v>
      </c>
      <c r="BD34" s="536"/>
      <c r="BE34" s="536"/>
      <c r="BF34" s="534"/>
      <c r="BG34" s="536"/>
      <c r="BH34" s="537">
        <f t="shared" si="19"/>
        <v>7.7</v>
      </c>
      <c r="BI34" s="537">
        <f t="shared" si="20"/>
        <v>1.7</v>
      </c>
      <c r="BJ34" s="537">
        <f t="shared" si="21"/>
        <v>53.9</v>
      </c>
      <c r="BK34" s="537">
        <f t="shared" si="22"/>
        <v>7</v>
      </c>
      <c r="BL34" s="537">
        <f t="shared" si="23"/>
        <v>9.5</v>
      </c>
      <c r="BM34" s="537">
        <f t="shared" si="24"/>
        <v>5.6</v>
      </c>
      <c r="BN34" s="537">
        <f t="shared" si="25"/>
        <v>5.5</v>
      </c>
      <c r="BO34" s="537">
        <f t="shared" si="26"/>
        <v>9.1000000000000085</v>
      </c>
      <c r="BP34" s="537">
        <f t="shared" si="18"/>
        <v>100</v>
      </c>
      <c r="BQ34" s="534" t="s">
        <v>1979</v>
      </c>
      <c r="BR34" s="556">
        <v>8.8539999999999994E-2</v>
      </c>
      <c r="BS34" s="556">
        <v>8.8539999999999994E-2</v>
      </c>
      <c r="BT34" s="556">
        <v>1.719E-2</v>
      </c>
      <c r="BU34" s="556">
        <v>7.3859999999999995E-2</v>
      </c>
      <c r="BV34" s="556">
        <v>4.929E-2</v>
      </c>
      <c r="BW34" s="557" t="s">
        <v>2275</v>
      </c>
      <c r="BX34" s="534" t="s">
        <v>2276</v>
      </c>
      <c r="DH34" s="539" t="str">
        <f t="shared" si="10"/>
        <v>Djibouti</v>
      </c>
      <c r="DI34" s="539" t="str">
        <f t="shared" si="11"/>
        <v>Africa</v>
      </c>
      <c r="DJ34" s="539" t="str">
        <f t="shared" si="12"/>
        <v>Eastern Africa</v>
      </c>
      <c r="DL34" s="539" t="s">
        <v>35</v>
      </c>
      <c r="DN34" s="539" t="s">
        <v>2227</v>
      </c>
      <c r="DO34" s="539" t="s">
        <v>2228</v>
      </c>
    </row>
    <row r="35" spans="3:119">
      <c r="C35" s="463" t="s">
        <v>2212</v>
      </c>
      <c r="D35" s="519"/>
      <c r="E35" s="731">
        <v>12400</v>
      </c>
      <c r="F35" s="520" t="s">
        <v>2079</v>
      </c>
      <c r="G35" s="521" t="s">
        <v>4368</v>
      </c>
      <c r="H35" s="520"/>
      <c r="I35" s="521"/>
      <c r="J35" s="520"/>
      <c r="AW35" s="1395" t="s">
        <v>2426</v>
      </c>
      <c r="AX35" s="1395" t="s">
        <v>2032</v>
      </c>
      <c r="AY35" s="1396" t="s">
        <v>2063</v>
      </c>
      <c r="AZ35" s="1395">
        <v>739</v>
      </c>
      <c r="BA35" s="527" t="s">
        <v>1977</v>
      </c>
      <c r="BB35" s="535">
        <v>18.8367793271604</v>
      </c>
      <c r="BC35" s="534" t="s">
        <v>2230</v>
      </c>
      <c r="BD35" s="536"/>
      <c r="BE35" s="536"/>
      <c r="BF35" s="534"/>
      <c r="BG35" s="536"/>
      <c r="BH35" s="537">
        <f t="shared" si="19"/>
        <v>7.7</v>
      </c>
      <c r="BI35" s="537">
        <f t="shared" si="20"/>
        <v>1.7</v>
      </c>
      <c r="BJ35" s="537">
        <f t="shared" si="21"/>
        <v>53.9</v>
      </c>
      <c r="BK35" s="537">
        <f t="shared" si="22"/>
        <v>7</v>
      </c>
      <c r="BL35" s="537">
        <f t="shared" si="23"/>
        <v>9.5</v>
      </c>
      <c r="BM35" s="537">
        <f t="shared" si="24"/>
        <v>5.6</v>
      </c>
      <c r="BN35" s="537">
        <f t="shared" si="25"/>
        <v>5.5</v>
      </c>
      <c r="BO35" s="537">
        <f t="shared" si="26"/>
        <v>9.1000000000000085</v>
      </c>
      <c r="BP35" s="537">
        <f t="shared" si="18"/>
        <v>100</v>
      </c>
      <c r="BQ35" s="534" t="s">
        <v>1979</v>
      </c>
      <c r="BR35" s="556">
        <v>8.8539999999999994E-2</v>
      </c>
      <c r="BS35" s="556">
        <v>8.8539999999999994E-2</v>
      </c>
      <c r="BT35" s="556">
        <v>1.719E-2</v>
      </c>
      <c r="BU35" s="556">
        <v>7.3859999999999995E-2</v>
      </c>
      <c r="BV35" s="556">
        <v>4.929E-2</v>
      </c>
      <c r="BW35" s="557" t="s">
        <v>2275</v>
      </c>
      <c r="BX35" s="534" t="s">
        <v>2276</v>
      </c>
      <c r="DH35" s="539" t="str">
        <f t="shared" ref="DH35:DH66" si="28">AW35</f>
        <v>Eritrea</v>
      </c>
      <c r="DI35" s="539" t="str">
        <f t="shared" ref="DI35:DI66" si="29">AX35</f>
        <v>Africa</v>
      </c>
      <c r="DJ35" s="539" t="str">
        <f t="shared" ref="DJ35:DJ66" si="30">AY35</f>
        <v>Eastern Africa</v>
      </c>
      <c r="DL35" s="539" t="s">
        <v>35</v>
      </c>
      <c r="DN35" s="539" t="s">
        <v>2231</v>
      </c>
      <c r="DO35" s="539" t="s">
        <v>2232</v>
      </c>
    </row>
    <row r="36" spans="3:119">
      <c r="C36" s="463" t="s">
        <v>2207</v>
      </c>
      <c r="D36" s="519"/>
      <c r="E36" s="731">
        <v>7380</v>
      </c>
      <c r="F36" s="520" t="s">
        <v>2079</v>
      </c>
      <c r="G36" s="521" t="s">
        <v>4368</v>
      </c>
      <c r="H36" s="520"/>
      <c r="I36" s="521"/>
      <c r="J36" s="520"/>
      <c r="AW36" s="1395" t="s">
        <v>2438</v>
      </c>
      <c r="AX36" s="1395" t="s">
        <v>2032</v>
      </c>
      <c r="AY36" s="1396" t="s">
        <v>2063</v>
      </c>
      <c r="AZ36" s="1395">
        <v>44</v>
      </c>
      <c r="BA36" s="527" t="s">
        <v>1977</v>
      </c>
      <c r="BB36" s="535">
        <v>9.19</v>
      </c>
      <c r="BC36" s="534" t="s">
        <v>2006</v>
      </c>
      <c r="BD36" s="536"/>
      <c r="BE36" s="536"/>
      <c r="BF36" s="534"/>
      <c r="BG36" s="536"/>
      <c r="BH36" s="537">
        <f t="shared" si="19"/>
        <v>7.7</v>
      </c>
      <c r="BI36" s="537">
        <f t="shared" si="20"/>
        <v>1.7</v>
      </c>
      <c r="BJ36" s="537">
        <f t="shared" si="21"/>
        <v>53.9</v>
      </c>
      <c r="BK36" s="537">
        <f t="shared" si="22"/>
        <v>7</v>
      </c>
      <c r="BL36" s="537">
        <f t="shared" si="23"/>
        <v>9.5</v>
      </c>
      <c r="BM36" s="537">
        <f t="shared" si="24"/>
        <v>5.6</v>
      </c>
      <c r="BN36" s="537">
        <f t="shared" si="25"/>
        <v>5.5</v>
      </c>
      <c r="BO36" s="537">
        <f t="shared" si="26"/>
        <v>9.1000000000000085</v>
      </c>
      <c r="BP36" s="537">
        <f t="shared" si="18"/>
        <v>100</v>
      </c>
      <c r="BQ36" s="534" t="s">
        <v>1979</v>
      </c>
      <c r="BR36" s="556">
        <v>8.8539999999999994E-2</v>
      </c>
      <c r="BS36" s="556">
        <v>8.8539999999999994E-2</v>
      </c>
      <c r="BT36" s="556">
        <v>1.719E-2</v>
      </c>
      <c r="BU36" s="556">
        <v>7.3859999999999995E-2</v>
      </c>
      <c r="BV36" s="556">
        <v>4.929E-2</v>
      </c>
      <c r="BW36" s="557" t="s">
        <v>2275</v>
      </c>
      <c r="BX36" s="534" t="s">
        <v>2276</v>
      </c>
      <c r="DH36" s="539" t="str">
        <f t="shared" si="28"/>
        <v>Ethiopia</v>
      </c>
      <c r="DI36" s="539" t="str">
        <f t="shared" si="29"/>
        <v>Africa</v>
      </c>
      <c r="DJ36" s="539" t="str">
        <f t="shared" si="30"/>
        <v>Eastern Africa</v>
      </c>
      <c r="DL36" s="539" t="s">
        <v>35</v>
      </c>
      <c r="DN36" s="539" t="s">
        <v>2234</v>
      </c>
      <c r="DO36" s="539" t="s">
        <v>2235</v>
      </c>
    </row>
    <row r="37" spans="3:119">
      <c r="C37" s="463" t="s">
        <v>2216</v>
      </c>
      <c r="D37" s="519"/>
      <c r="E37" s="731">
        <v>9290</v>
      </c>
      <c r="F37" s="520" t="s">
        <v>2079</v>
      </c>
      <c r="G37" s="521" t="s">
        <v>4368</v>
      </c>
      <c r="H37" s="520"/>
      <c r="I37" s="521"/>
      <c r="J37" s="520"/>
      <c r="AW37" s="1395" t="s">
        <v>2574</v>
      </c>
      <c r="AX37" s="1395" t="s">
        <v>2032</v>
      </c>
      <c r="AY37" s="1396" t="s">
        <v>2063</v>
      </c>
      <c r="AZ37" s="1395">
        <v>317</v>
      </c>
      <c r="BA37" s="527" t="s">
        <v>1977</v>
      </c>
      <c r="BB37" s="535">
        <v>8.18</v>
      </c>
      <c r="BC37" s="534" t="s">
        <v>2006</v>
      </c>
      <c r="BD37" s="536"/>
      <c r="BE37" s="536"/>
      <c r="BF37" s="534"/>
      <c r="BG37" s="536"/>
      <c r="BH37" s="537">
        <f t="shared" si="19"/>
        <v>7.7</v>
      </c>
      <c r="BI37" s="537">
        <f t="shared" si="20"/>
        <v>1.7</v>
      </c>
      <c r="BJ37" s="537">
        <f t="shared" si="21"/>
        <v>53.9</v>
      </c>
      <c r="BK37" s="537">
        <f t="shared" si="22"/>
        <v>7</v>
      </c>
      <c r="BL37" s="537">
        <f t="shared" si="23"/>
        <v>9.5</v>
      </c>
      <c r="BM37" s="537">
        <f t="shared" si="24"/>
        <v>5.6</v>
      </c>
      <c r="BN37" s="537">
        <f t="shared" si="25"/>
        <v>5.5</v>
      </c>
      <c r="BO37" s="537">
        <f t="shared" si="26"/>
        <v>9.1000000000000085</v>
      </c>
      <c r="BP37" s="537">
        <f t="shared" si="18"/>
        <v>100</v>
      </c>
      <c r="BQ37" s="534" t="s">
        <v>1979</v>
      </c>
      <c r="BR37" s="556">
        <v>8.8539999999999994E-2</v>
      </c>
      <c r="BS37" s="556">
        <v>8.8539999999999994E-2</v>
      </c>
      <c r="BT37" s="556">
        <v>1.719E-2</v>
      </c>
      <c r="BU37" s="556">
        <v>7.3859999999999995E-2</v>
      </c>
      <c r="BV37" s="556">
        <v>4.929E-2</v>
      </c>
      <c r="BW37" s="557" t="s">
        <v>2275</v>
      </c>
      <c r="BX37" s="534" t="s">
        <v>2276</v>
      </c>
      <c r="DH37" s="539" t="str">
        <f t="shared" si="28"/>
        <v>Kenya</v>
      </c>
      <c r="DI37" s="539" t="str">
        <f t="shared" si="29"/>
        <v>Africa</v>
      </c>
      <c r="DJ37" s="539" t="str">
        <f t="shared" si="30"/>
        <v>Eastern Africa</v>
      </c>
      <c r="DL37" s="539" t="s">
        <v>35</v>
      </c>
      <c r="DN37" s="539" t="s">
        <v>2237</v>
      </c>
      <c r="DO37" s="539" t="s">
        <v>2238</v>
      </c>
    </row>
    <row r="38" spans="3:119">
      <c r="C38" s="463" t="s">
        <v>2930</v>
      </c>
      <c r="D38" s="519"/>
      <c r="E38" s="731">
        <v>10000</v>
      </c>
      <c r="F38" s="520" t="s">
        <v>2079</v>
      </c>
      <c r="G38" s="521" t="s">
        <v>4368</v>
      </c>
      <c r="H38" s="520"/>
      <c r="I38" s="521"/>
      <c r="J38" s="520"/>
      <c r="AW38" s="1395" t="s">
        <v>2634</v>
      </c>
      <c r="AX38" s="1395" t="s">
        <v>2032</v>
      </c>
      <c r="AY38" s="1396" t="s">
        <v>2063</v>
      </c>
      <c r="AZ38" s="1395">
        <v>377</v>
      </c>
      <c r="BA38" s="527" t="s">
        <v>1977</v>
      </c>
      <c r="BB38" s="535">
        <v>11.02</v>
      </c>
      <c r="BC38" s="534" t="s">
        <v>2006</v>
      </c>
      <c r="BD38" s="536"/>
      <c r="BE38" s="536"/>
      <c r="BF38" s="534"/>
      <c r="BG38" s="536"/>
      <c r="BH38" s="537">
        <f t="shared" si="19"/>
        <v>7.7</v>
      </c>
      <c r="BI38" s="537">
        <f t="shared" si="20"/>
        <v>1.7</v>
      </c>
      <c r="BJ38" s="537">
        <f t="shared" si="21"/>
        <v>53.9</v>
      </c>
      <c r="BK38" s="537">
        <f t="shared" si="22"/>
        <v>7</v>
      </c>
      <c r="BL38" s="537">
        <f t="shared" si="23"/>
        <v>9.5</v>
      </c>
      <c r="BM38" s="537">
        <f t="shared" si="24"/>
        <v>5.6</v>
      </c>
      <c r="BN38" s="537">
        <f t="shared" si="25"/>
        <v>5.5</v>
      </c>
      <c r="BO38" s="537">
        <f t="shared" si="26"/>
        <v>9.1000000000000085</v>
      </c>
      <c r="BP38" s="537">
        <f t="shared" si="18"/>
        <v>100</v>
      </c>
      <c r="BQ38" s="534" t="s">
        <v>1979</v>
      </c>
      <c r="BR38" s="556">
        <v>8.8539999999999994E-2</v>
      </c>
      <c r="BS38" s="556">
        <v>8.8539999999999994E-2</v>
      </c>
      <c r="BT38" s="556">
        <v>1.719E-2</v>
      </c>
      <c r="BU38" s="556">
        <v>7.3859999999999995E-2</v>
      </c>
      <c r="BV38" s="556">
        <v>4.929E-2</v>
      </c>
      <c r="BW38" s="557" t="s">
        <v>2275</v>
      </c>
      <c r="BX38" s="534" t="s">
        <v>2276</v>
      </c>
      <c r="DH38" s="539" t="str">
        <f t="shared" si="28"/>
        <v>Madagascar</v>
      </c>
      <c r="DI38" s="539" t="str">
        <f t="shared" si="29"/>
        <v>Africa</v>
      </c>
      <c r="DJ38" s="539" t="str">
        <f t="shared" si="30"/>
        <v>Eastern Africa</v>
      </c>
      <c r="DL38" s="539" t="s">
        <v>35</v>
      </c>
      <c r="DN38" s="539" t="s">
        <v>2240</v>
      </c>
      <c r="DO38" s="539" t="s">
        <v>2241</v>
      </c>
    </row>
    <row r="39" spans="3:119">
      <c r="C39" s="463" t="s">
        <v>2221</v>
      </c>
      <c r="D39" s="519"/>
      <c r="E39" s="731">
        <v>10200</v>
      </c>
      <c r="F39" s="520" t="s">
        <v>2079</v>
      </c>
      <c r="G39" s="521" t="s">
        <v>4368</v>
      </c>
      <c r="H39" s="520"/>
      <c r="I39" s="521"/>
      <c r="J39" s="520"/>
      <c r="AW39" s="1395" t="s">
        <v>2640</v>
      </c>
      <c r="AX39" s="1395" t="s">
        <v>2032</v>
      </c>
      <c r="AY39" s="1396" t="s">
        <v>2063</v>
      </c>
      <c r="AZ39" s="1395">
        <v>43</v>
      </c>
      <c r="BA39" s="527" t="s">
        <v>1977</v>
      </c>
      <c r="BB39" s="535">
        <v>15.77</v>
      </c>
      <c r="BC39" s="534" t="s">
        <v>2006</v>
      </c>
      <c r="BD39" s="548">
        <v>0.11</v>
      </c>
      <c r="BE39" s="548">
        <v>0.44</v>
      </c>
      <c r="BF39" s="534" t="s">
        <v>2179</v>
      </c>
      <c r="BG39" s="536"/>
      <c r="BH39" s="537">
        <f t="shared" si="19"/>
        <v>7.7</v>
      </c>
      <c r="BI39" s="537">
        <f t="shared" si="20"/>
        <v>1.7</v>
      </c>
      <c r="BJ39" s="537">
        <f t="shared" si="21"/>
        <v>53.9</v>
      </c>
      <c r="BK39" s="537">
        <f t="shared" si="22"/>
        <v>7</v>
      </c>
      <c r="BL39" s="537">
        <f t="shared" si="23"/>
        <v>9.5</v>
      </c>
      <c r="BM39" s="537">
        <f t="shared" si="24"/>
        <v>5.6</v>
      </c>
      <c r="BN39" s="537">
        <f t="shared" si="25"/>
        <v>5.5</v>
      </c>
      <c r="BO39" s="537">
        <f t="shared" si="26"/>
        <v>9.1000000000000085</v>
      </c>
      <c r="BP39" s="537">
        <f t="shared" si="18"/>
        <v>100</v>
      </c>
      <c r="BQ39" s="534" t="s">
        <v>1979</v>
      </c>
      <c r="BR39" s="556">
        <v>8.8539999999999994E-2</v>
      </c>
      <c r="BS39" s="556">
        <v>8.8539999999999994E-2</v>
      </c>
      <c r="BT39" s="556">
        <v>1.719E-2</v>
      </c>
      <c r="BU39" s="556">
        <v>7.3859999999999995E-2</v>
      </c>
      <c r="BV39" s="556">
        <v>4.929E-2</v>
      </c>
      <c r="BW39" s="557" t="s">
        <v>2275</v>
      </c>
      <c r="BX39" s="534" t="s">
        <v>2276</v>
      </c>
      <c r="DH39" s="539" t="str">
        <f t="shared" si="28"/>
        <v>Malawi</v>
      </c>
      <c r="DI39" s="539" t="str">
        <f t="shared" si="29"/>
        <v>Africa</v>
      </c>
      <c r="DJ39" s="539" t="str">
        <f t="shared" si="30"/>
        <v>Eastern Africa</v>
      </c>
      <c r="DK39" s="539" t="e">
        <f>VLOOKUP(DH39,#REF!,1)</f>
        <v>#REF!</v>
      </c>
      <c r="DL39" s="539" t="e">
        <f>VLOOKUP(DK39,#REF!,2,FALSE)</f>
        <v>#REF!</v>
      </c>
      <c r="DN39" s="539" t="s">
        <v>2243</v>
      </c>
      <c r="DO39" s="539" t="s">
        <v>2244</v>
      </c>
    </row>
    <row r="40" spans="3:119" ht="25.5">
      <c r="C40" s="463" t="s">
        <v>2931</v>
      </c>
      <c r="D40" s="519"/>
      <c r="E40" s="731">
        <v>9220</v>
      </c>
      <c r="F40" s="520" t="s">
        <v>2079</v>
      </c>
      <c r="G40" s="521" t="s">
        <v>4368</v>
      </c>
      <c r="H40" s="520"/>
      <c r="I40" s="521"/>
      <c r="J40" s="520"/>
      <c r="AW40" s="1395" t="s">
        <v>2662</v>
      </c>
      <c r="AX40" s="1395" t="s">
        <v>2032</v>
      </c>
      <c r="AY40" s="1396" t="s">
        <v>2063</v>
      </c>
      <c r="AZ40" s="1395">
        <v>552</v>
      </c>
      <c r="BA40" s="527" t="s">
        <v>1977</v>
      </c>
      <c r="BB40" s="535">
        <v>9.3894684857089938</v>
      </c>
      <c r="BC40" s="534" t="s">
        <v>2087</v>
      </c>
      <c r="BD40" s="536"/>
      <c r="BE40" s="536"/>
      <c r="BF40" s="534"/>
      <c r="BG40" s="536"/>
      <c r="BH40" s="537">
        <f t="shared" si="19"/>
        <v>7.7</v>
      </c>
      <c r="BI40" s="537">
        <f t="shared" si="20"/>
        <v>1.7</v>
      </c>
      <c r="BJ40" s="537">
        <f t="shared" si="21"/>
        <v>53.9</v>
      </c>
      <c r="BK40" s="537">
        <f t="shared" si="22"/>
        <v>7</v>
      </c>
      <c r="BL40" s="537">
        <f t="shared" si="23"/>
        <v>9.5</v>
      </c>
      <c r="BM40" s="537">
        <f t="shared" si="24"/>
        <v>5.6</v>
      </c>
      <c r="BN40" s="537">
        <f t="shared" si="25"/>
        <v>5.5</v>
      </c>
      <c r="BO40" s="537">
        <f t="shared" si="26"/>
        <v>9.1000000000000085</v>
      </c>
      <c r="BP40" s="537">
        <f t="shared" si="18"/>
        <v>100</v>
      </c>
      <c r="BQ40" s="534" t="s">
        <v>1979</v>
      </c>
      <c r="BR40" s="556">
        <v>8.8539999999999994E-2</v>
      </c>
      <c r="BS40" s="556">
        <v>8.8539999999999994E-2</v>
      </c>
      <c r="BT40" s="556">
        <v>1.719E-2</v>
      </c>
      <c r="BU40" s="556">
        <v>7.3859999999999995E-2</v>
      </c>
      <c r="BV40" s="556">
        <v>4.929E-2</v>
      </c>
      <c r="BW40" s="557" t="s">
        <v>2275</v>
      </c>
      <c r="BX40" s="534" t="s">
        <v>2276</v>
      </c>
      <c r="DH40" s="539" t="str">
        <f t="shared" si="28"/>
        <v>Mauritius</v>
      </c>
      <c r="DI40" s="539" t="str">
        <f t="shared" si="29"/>
        <v>Africa</v>
      </c>
      <c r="DJ40" s="539" t="str">
        <f t="shared" si="30"/>
        <v>Eastern Africa</v>
      </c>
      <c r="DL40" s="539" t="s">
        <v>35</v>
      </c>
      <c r="DN40" s="539" t="s">
        <v>2247</v>
      </c>
      <c r="DO40" s="539" t="s">
        <v>2248</v>
      </c>
    </row>
    <row r="41" spans="3:119">
      <c r="C41" s="463" t="s">
        <v>2932</v>
      </c>
      <c r="D41" s="519"/>
      <c r="E41" s="731">
        <v>8620</v>
      </c>
      <c r="F41" s="520" t="s">
        <v>2079</v>
      </c>
      <c r="G41" s="521" t="s">
        <v>4368</v>
      </c>
      <c r="H41" s="520"/>
      <c r="I41" s="521"/>
      <c r="J41" s="520"/>
      <c r="AW41" s="1395" t="s">
        <v>2665</v>
      </c>
      <c r="AX41" s="1395" t="s">
        <v>2032</v>
      </c>
      <c r="AY41" s="1396" t="s">
        <v>2063</v>
      </c>
      <c r="AZ41" s="1395">
        <v>545</v>
      </c>
      <c r="BA41" s="527" t="s">
        <v>1977</v>
      </c>
      <c r="BB41" s="535">
        <v>6.41</v>
      </c>
      <c r="BC41" s="534" t="s">
        <v>2006</v>
      </c>
      <c r="BD41" s="536"/>
      <c r="BE41" s="536"/>
      <c r="BF41" s="534"/>
      <c r="BG41" s="536"/>
      <c r="BH41" s="537">
        <f t="shared" si="19"/>
        <v>7.7</v>
      </c>
      <c r="BI41" s="537">
        <f t="shared" si="20"/>
        <v>1.7</v>
      </c>
      <c r="BJ41" s="537">
        <f t="shared" si="21"/>
        <v>53.9</v>
      </c>
      <c r="BK41" s="537">
        <f t="shared" si="22"/>
        <v>7</v>
      </c>
      <c r="BL41" s="537">
        <f t="shared" si="23"/>
        <v>9.5</v>
      </c>
      <c r="BM41" s="537">
        <f t="shared" si="24"/>
        <v>5.6</v>
      </c>
      <c r="BN41" s="537">
        <f t="shared" si="25"/>
        <v>5.5</v>
      </c>
      <c r="BO41" s="537">
        <f t="shared" si="26"/>
        <v>9.1000000000000085</v>
      </c>
      <c r="BP41" s="537">
        <f t="shared" si="18"/>
        <v>100</v>
      </c>
      <c r="BQ41" s="534" t="s">
        <v>1979</v>
      </c>
      <c r="BR41" s="556">
        <v>8.8539999999999994E-2</v>
      </c>
      <c r="BS41" s="556">
        <v>8.8539999999999994E-2</v>
      </c>
      <c r="BT41" s="556">
        <v>1.719E-2</v>
      </c>
      <c r="BU41" s="556">
        <v>7.3859999999999995E-2</v>
      </c>
      <c r="BV41" s="556">
        <v>4.929E-2</v>
      </c>
      <c r="BW41" s="557" t="s">
        <v>2275</v>
      </c>
      <c r="BX41" s="534" t="s">
        <v>2276</v>
      </c>
      <c r="DH41" s="539" t="str">
        <f t="shared" si="28"/>
        <v>Mayotte (France)</v>
      </c>
      <c r="DI41" s="539" t="str">
        <f t="shared" si="29"/>
        <v>Africa</v>
      </c>
      <c r="DJ41" s="539" t="str">
        <f t="shared" si="30"/>
        <v>Eastern Africa</v>
      </c>
      <c r="DL41" s="539" t="s">
        <v>35</v>
      </c>
      <c r="DN41" s="539" t="s">
        <v>2251</v>
      </c>
      <c r="DO41" s="539" t="s">
        <v>2252</v>
      </c>
    </row>
    <row r="42" spans="3:119">
      <c r="C42" s="463" t="s">
        <v>2933</v>
      </c>
      <c r="D42" s="519"/>
      <c r="E42" s="731">
        <v>7480</v>
      </c>
      <c r="F42" s="520" t="s">
        <v>2079</v>
      </c>
      <c r="G42" s="521" t="s">
        <v>4368</v>
      </c>
      <c r="H42" s="520"/>
      <c r="I42" s="521"/>
      <c r="J42" s="520" t="s">
        <v>28</v>
      </c>
      <c r="AW42" s="1395" t="s">
        <v>2680</v>
      </c>
      <c r="AX42" s="1395" t="s">
        <v>2032</v>
      </c>
      <c r="AY42" s="1396" t="s">
        <v>2063</v>
      </c>
      <c r="AZ42" s="1395">
        <v>128</v>
      </c>
      <c r="BA42" s="527" t="s">
        <v>1977</v>
      </c>
      <c r="BB42" s="535">
        <v>8.5500000000000007</v>
      </c>
      <c r="BC42" s="534" t="s">
        <v>2006</v>
      </c>
      <c r="BD42" s="548">
        <v>5.7500000000000002E-2</v>
      </c>
      <c r="BE42" s="548">
        <v>0.09</v>
      </c>
      <c r="BF42" s="534" t="s">
        <v>2179</v>
      </c>
      <c r="BG42" s="536"/>
      <c r="BH42" s="537">
        <f t="shared" si="19"/>
        <v>7.7</v>
      </c>
      <c r="BI42" s="537">
        <f t="shared" si="20"/>
        <v>1.7</v>
      </c>
      <c r="BJ42" s="537">
        <f t="shared" si="21"/>
        <v>53.9</v>
      </c>
      <c r="BK42" s="537">
        <f t="shared" si="22"/>
        <v>7</v>
      </c>
      <c r="BL42" s="537">
        <f t="shared" si="23"/>
        <v>9.5</v>
      </c>
      <c r="BM42" s="537">
        <f t="shared" si="24"/>
        <v>5.6</v>
      </c>
      <c r="BN42" s="537">
        <f t="shared" si="25"/>
        <v>5.5</v>
      </c>
      <c r="BO42" s="537">
        <f t="shared" si="26"/>
        <v>9.1000000000000085</v>
      </c>
      <c r="BP42" s="537">
        <f t="shared" si="18"/>
        <v>100</v>
      </c>
      <c r="BQ42" s="534" t="s">
        <v>1979</v>
      </c>
      <c r="BR42" s="556">
        <v>8.8539999999999994E-2</v>
      </c>
      <c r="BS42" s="556">
        <v>8.8539999999999994E-2</v>
      </c>
      <c r="BT42" s="556">
        <v>1.719E-2</v>
      </c>
      <c r="BU42" s="556">
        <v>7.3859999999999995E-2</v>
      </c>
      <c r="BV42" s="556">
        <v>4.929E-2</v>
      </c>
      <c r="BW42" s="557" t="s">
        <v>2275</v>
      </c>
      <c r="BX42" s="534" t="s">
        <v>2276</v>
      </c>
      <c r="DH42" s="539" t="str">
        <f t="shared" si="28"/>
        <v>Mozambique</v>
      </c>
      <c r="DI42" s="539" t="str">
        <f t="shared" si="29"/>
        <v>Africa</v>
      </c>
      <c r="DJ42" s="539" t="str">
        <f t="shared" si="30"/>
        <v>Eastern Africa</v>
      </c>
      <c r="DK42" s="539" t="e">
        <f>VLOOKUP(DH42,#REF!,1)</f>
        <v>#REF!</v>
      </c>
      <c r="DL42" s="539" t="e">
        <f>VLOOKUP(DK42,#REF!,2,FALSE)</f>
        <v>#REF!</v>
      </c>
      <c r="DN42" s="539" t="s">
        <v>2255</v>
      </c>
      <c r="DO42" s="539" t="s">
        <v>2256</v>
      </c>
    </row>
    <row r="43" spans="3:119" ht="25.5">
      <c r="C43" s="463" t="s">
        <v>2245</v>
      </c>
      <c r="D43" s="519"/>
      <c r="E43" s="731">
        <v>6230</v>
      </c>
      <c r="F43" s="520" t="s">
        <v>2079</v>
      </c>
      <c r="G43" s="521" t="s">
        <v>4368</v>
      </c>
      <c r="H43" s="520"/>
      <c r="I43" s="521"/>
      <c r="J43" s="520"/>
      <c r="AW43" s="1395" t="s">
        <v>2703</v>
      </c>
      <c r="AX43" s="1395" t="s">
        <v>2032</v>
      </c>
      <c r="AY43" s="1396" t="s">
        <v>2063</v>
      </c>
      <c r="AZ43" s="1395">
        <v>430</v>
      </c>
      <c r="BA43" s="527" t="s">
        <v>1977</v>
      </c>
      <c r="BB43" s="535">
        <v>13.490630673342661</v>
      </c>
      <c r="BC43" s="534" t="s">
        <v>2223</v>
      </c>
      <c r="BD43" s="536"/>
      <c r="BE43" s="536"/>
      <c r="BF43" s="534"/>
      <c r="BG43" s="536"/>
      <c r="BH43" s="537">
        <f t="shared" si="19"/>
        <v>7.7</v>
      </c>
      <c r="BI43" s="537">
        <f t="shared" si="20"/>
        <v>1.7</v>
      </c>
      <c r="BJ43" s="537">
        <f t="shared" si="21"/>
        <v>53.9</v>
      </c>
      <c r="BK43" s="537">
        <f t="shared" si="22"/>
        <v>7</v>
      </c>
      <c r="BL43" s="537">
        <f t="shared" si="23"/>
        <v>9.5</v>
      </c>
      <c r="BM43" s="537">
        <f t="shared" si="24"/>
        <v>5.6</v>
      </c>
      <c r="BN43" s="537">
        <f t="shared" si="25"/>
        <v>5.5</v>
      </c>
      <c r="BO43" s="537">
        <f t="shared" si="26"/>
        <v>9.1000000000000085</v>
      </c>
      <c r="BP43" s="537">
        <f t="shared" si="18"/>
        <v>100</v>
      </c>
      <c r="BQ43" s="534" t="s">
        <v>1979</v>
      </c>
      <c r="BR43" s="556">
        <v>8.8539999999999994E-2</v>
      </c>
      <c r="BS43" s="556">
        <v>8.8539999999999994E-2</v>
      </c>
      <c r="BT43" s="556">
        <v>1.719E-2</v>
      </c>
      <c r="BU43" s="556">
        <v>7.3859999999999995E-2</v>
      </c>
      <c r="BV43" s="556">
        <v>4.929E-2</v>
      </c>
      <c r="BW43" s="557" t="s">
        <v>2275</v>
      </c>
      <c r="BX43" s="534" t="s">
        <v>2276</v>
      </c>
      <c r="DH43" s="539" t="str">
        <f t="shared" si="28"/>
        <v>Reunion (France)</v>
      </c>
      <c r="DI43" s="539" t="str">
        <f t="shared" si="29"/>
        <v>Africa</v>
      </c>
      <c r="DJ43" s="539" t="str">
        <f t="shared" si="30"/>
        <v>Eastern Africa</v>
      </c>
      <c r="DL43" s="539" t="s">
        <v>35</v>
      </c>
      <c r="DN43" s="539" t="s">
        <v>2259</v>
      </c>
      <c r="DO43" s="539" t="s">
        <v>2260</v>
      </c>
    </row>
    <row r="44" spans="3:119" ht="25.5">
      <c r="C44" s="463" t="s">
        <v>2249</v>
      </c>
      <c r="D44" s="519"/>
      <c r="E44" s="731">
        <v>12500</v>
      </c>
      <c r="F44" s="520" t="s">
        <v>2079</v>
      </c>
      <c r="G44" s="521" t="s">
        <v>4368</v>
      </c>
      <c r="H44" s="520"/>
      <c r="I44" s="521"/>
      <c r="J44" s="520" t="s">
        <v>41</v>
      </c>
      <c r="AW44" s="1395" t="s">
        <v>2707</v>
      </c>
      <c r="AX44" s="1395" t="s">
        <v>2032</v>
      </c>
      <c r="AY44" s="1396" t="s">
        <v>2063</v>
      </c>
      <c r="AZ44" s="1395">
        <v>461</v>
      </c>
      <c r="BA44" s="527" t="s">
        <v>1977</v>
      </c>
      <c r="BB44" s="535">
        <v>11.740747004194485</v>
      </c>
      <c r="BC44" s="534" t="s">
        <v>2263</v>
      </c>
      <c r="BD44" s="536"/>
      <c r="BE44" s="536"/>
      <c r="BF44" s="534"/>
      <c r="BG44" s="536"/>
      <c r="BH44" s="537">
        <f t="shared" ref="BH44:BH72" si="31">+VLOOKUP($AY44,$BZ$3:$CH$21,2,FALSE)</f>
        <v>7.7</v>
      </c>
      <c r="BI44" s="537">
        <f t="shared" ref="BI44:BI72" si="32">+VLOOKUP($AY44,$BZ$3:$CH$21,3,FALSE)</f>
        <v>1.7</v>
      </c>
      <c r="BJ44" s="537">
        <f t="shared" ref="BJ44:BJ72" si="33">+VLOOKUP($AY44,$BZ$3:$CH$21,4,FALSE)</f>
        <v>53.9</v>
      </c>
      <c r="BK44" s="537">
        <f t="shared" ref="BK44:BK72" si="34">+VLOOKUP($AY44,$BZ$3:$CH$21,5,FALSE)</f>
        <v>7</v>
      </c>
      <c r="BL44" s="537">
        <f t="shared" ref="BL44:BL72" si="35">+VLOOKUP($AY44,$BZ$3:$CH$21,6,FALSE)</f>
        <v>9.5</v>
      </c>
      <c r="BM44" s="537">
        <f t="shared" ref="BM44:BM72" si="36">+VLOOKUP($AY44,$BZ$3:$CH$21,7,FALSE)</f>
        <v>5.6</v>
      </c>
      <c r="BN44" s="537">
        <f t="shared" ref="BN44:BN72" si="37">+VLOOKUP($AY44,$BZ$3:$CH$21,8,FALSE)</f>
        <v>5.5</v>
      </c>
      <c r="BO44" s="537">
        <f t="shared" ref="BO44:BO72" si="38">+VLOOKUP($AY44,$BZ$3:$CH$21,9,FALSE)</f>
        <v>9.1000000000000085</v>
      </c>
      <c r="BP44" s="537">
        <f t="shared" si="18"/>
        <v>100</v>
      </c>
      <c r="BQ44" s="534" t="s">
        <v>1979</v>
      </c>
      <c r="BR44" s="556">
        <v>8.8539999999999994E-2</v>
      </c>
      <c r="BS44" s="556">
        <v>8.8539999999999994E-2</v>
      </c>
      <c r="BT44" s="556">
        <v>1.719E-2</v>
      </c>
      <c r="BU44" s="556">
        <v>7.3859999999999995E-2</v>
      </c>
      <c r="BV44" s="556">
        <v>4.929E-2</v>
      </c>
      <c r="BW44" s="557" t="s">
        <v>2275</v>
      </c>
      <c r="BX44" s="534" t="s">
        <v>2276</v>
      </c>
      <c r="DH44" s="539" t="str">
        <f t="shared" si="28"/>
        <v>Rwanda</v>
      </c>
      <c r="DI44" s="539" t="str">
        <f t="shared" si="29"/>
        <v>Africa</v>
      </c>
      <c r="DJ44" s="539" t="str">
        <f t="shared" si="30"/>
        <v>Eastern Africa</v>
      </c>
      <c r="DL44" s="539" t="s">
        <v>35</v>
      </c>
      <c r="DN44" s="539" t="s">
        <v>2264</v>
      </c>
      <c r="DO44" s="539" t="s">
        <v>2265</v>
      </c>
    </row>
    <row r="45" spans="3:119">
      <c r="C45" s="463" t="s">
        <v>2261</v>
      </c>
      <c r="D45" s="519"/>
      <c r="E45" s="731">
        <v>90</v>
      </c>
      <c r="F45" s="520" t="s">
        <v>2079</v>
      </c>
      <c r="G45" s="521" t="s">
        <v>4368</v>
      </c>
      <c r="H45" s="520"/>
      <c r="I45" s="521"/>
      <c r="J45" s="520"/>
      <c r="AW45" s="1395" t="s">
        <v>2720</v>
      </c>
      <c r="AX45" s="1395" t="s">
        <v>2032</v>
      </c>
      <c r="AY45" s="1396" t="s">
        <v>2063</v>
      </c>
      <c r="AZ45" s="1395">
        <v>516</v>
      </c>
      <c r="BA45" s="527" t="s">
        <v>1977</v>
      </c>
      <c r="BB45" s="535">
        <v>23.416067929457871</v>
      </c>
      <c r="BC45" s="534" t="s">
        <v>2006</v>
      </c>
      <c r="BD45" s="536"/>
      <c r="BE45" s="536"/>
      <c r="BF45" s="534"/>
      <c r="BG45" s="536"/>
      <c r="BH45" s="537">
        <f t="shared" si="31"/>
        <v>7.7</v>
      </c>
      <c r="BI45" s="537">
        <f t="shared" si="32"/>
        <v>1.7</v>
      </c>
      <c r="BJ45" s="537">
        <f t="shared" si="33"/>
        <v>53.9</v>
      </c>
      <c r="BK45" s="537">
        <f t="shared" si="34"/>
        <v>7</v>
      </c>
      <c r="BL45" s="537">
        <f t="shared" si="35"/>
        <v>9.5</v>
      </c>
      <c r="BM45" s="537">
        <f t="shared" si="36"/>
        <v>5.6</v>
      </c>
      <c r="BN45" s="537">
        <f t="shared" si="37"/>
        <v>5.5</v>
      </c>
      <c r="BO45" s="537">
        <f t="shared" si="38"/>
        <v>9.1000000000000085</v>
      </c>
      <c r="BP45" s="537">
        <f t="shared" si="18"/>
        <v>100</v>
      </c>
      <c r="BQ45" s="534" t="s">
        <v>1979</v>
      </c>
      <c r="BR45" s="556">
        <v>8.8539999999999994E-2</v>
      </c>
      <c r="BS45" s="556">
        <v>8.8539999999999994E-2</v>
      </c>
      <c r="BT45" s="556">
        <v>1.719E-2</v>
      </c>
      <c r="BU45" s="556">
        <v>7.3859999999999995E-2</v>
      </c>
      <c r="BV45" s="556">
        <v>4.929E-2</v>
      </c>
      <c r="BW45" s="557" t="s">
        <v>2275</v>
      </c>
      <c r="BX45" s="534" t="s">
        <v>2276</v>
      </c>
      <c r="DH45" s="539" t="str">
        <f t="shared" si="28"/>
        <v>Seychelles</v>
      </c>
      <c r="DI45" s="539" t="str">
        <f t="shared" si="29"/>
        <v>Africa</v>
      </c>
      <c r="DJ45" s="539" t="str">
        <f t="shared" si="30"/>
        <v>Eastern Africa</v>
      </c>
      <c r="DL45" s="539" t="s">
        <v>35</v>
      </c>
      <c r="DN45" s="539" t="s">
        <v>2268</v>
      </c>
      <c r="DO45" s="539" t="s">
        <v>2269</v>
      </c>
    </row>
    <row r="46" spans="3:119">
      <c r="C46" s="463" t="s">
        <v>2253</v>
      </c>
      <c r="D46" s="519"/>
      <c r="E46" s="731">
        <v>1960</v>
      </c>
      <c r="F46" s="520" t="s">
        <v>2079</v>
      </c>
      <c r="G46" s="521" t="s">
        <v>4368</v>
      </c>
      <c r="H46" s="520"/>
      <c r="I46" s="521"/>
      <c r="J46" s="520"/>
      <c r="AW46" s="1395" t="s">
        <v>2726</v>
      </c>
      <c r="AX46" s="1395" t="s">
        <v>2032</v>
      </c>
      <c r="AY46" s="1396" t="s">
        <v>2063</v>
      </c>
      <c r="AZ46" s="1395">
        <v>658</v>
      </c>
      <c r="BA46" s="527" t="s">
        <v>1977</v>
      </c>
      <c r="BB46" s="535">
        <v>11.053315994798439</v>
      </c>
      <c r="BC46" s="534" t="s">
        <v>2006</v>
      </c>
      <c r="BD46" s="536"/>
      <c r="BE46" s="536"/>
      <c r="BF46" s="534"/>
      <c r="BG46" s="536"/>
      <c r="BH46" s="537">
        <f t="shared" si="31"/>
        <v>7.7</v>
      </c>
      <c r="BI46" s="537">
        <f t="shared" si="32"/>
        <v>1.7</v>
      </c>
      <c r="BJ46" s="537">
        <f t="shared" si="33"/>
        <v>53.9</v>
      </c>
      <c r="BK46" s="537">
        <f t="shared" si="34"/>
        <v>7</v>
      </c>
      <c r="BL46" s="537">
        <f t="shared" si="35"/>
        <v>9.5</v>
      </c>
      <c r="BM46" s="537">
        <f t="shared" si="36"/>
        <v>5.6</v>
      </c>
      <c r="BN46" s="537">
        <f t="shared" si="37"/>
        <v>5.5</v>
      </c>
      <c r="BO46" s="537">
        <f t="shared" si="38"/>
        <v>9.1000000000000085</v>
      </c>
      <c r="BP46" s="537">
        <f t="shared" si="18"/>
        <v>100</v>
      </c>
      <c r="BQ46" s="534" t="s">
        <v>1979</v>
      </c>
      <c r="BR46" s="556">
        <v>8.8539999999999994E-2</v>
      </c>
      <c r="BS46" s="556">
        <v>8.8539999999999994E-2</v>
      </c>
      <c r="BT46" s="556">
        <v>1.719E-2</v>
      </c>
      <c r="BU46" s="556">
        <v>7.3859999999999995E-2</v>
      </c>
      <c r="BV46" s="556">
        <v>4.929E-2</v>
      </c>
      <c r="BW46" s="557" t="s">
        <v>2275</v>
      </c>
      <c r="BX46" s="534" t="s">
        <v>2276</v>
      </c>
      <c r="DH46" s="539" t="str">
        <f t="shared" si="28"/>
        <v>Somalia</v>
      </c>
      <c r="DI46" s="539" t="str">
        <f t="shared" si="29"/>
        <v>Africa</v>
      </c>
      <c r="DJ46" s="539" t="str">
        <f t="shared" si="30"/>
        <v>Eastern Africa</v>
      </c>
      <c r="DL46" s="539" t="s">
        <v>35</v>
      </c>
      <c r="DN46" s="539" t="s">
        <v>2271</v>
      </c>
      <c r="DO46" s="539" t="s">
        <v>2272</v>
      </c>
    </row>
    <row r="47" spans="3:119">
      <c r="C47" s="463" t="s">
        <v>2266</v>
      </c>
      <c r="D47" s="519"/>
      <c r="E47" s="731">
        <v>0.02</v>
      </c>
      <c r="F47" s="520" t="s">
        <v>2079</v>
      </c>
      <c r="G47" s="521" t="s">
        <v>4368</v>
      </c>
      <c r="H47" s="520"/>
      <c r="I47" s="521"/>
      <c r="J47" s="520"/>
      <c r="AW47" s="1395" t="s">
        <v>2728</v>
      </c>
      <c r="AX47" s="1395" t="s">
        <v>2032</v>
      </c>
      <c r="AY47" s="1396" t="s">
        <v>2063</v>
      </c>
      <c r="AZ47" s="1395">
        <v>743</v>
      </c>
      <c r="BA47" s="527" t="s">
        <v>1977</v>
      </c>
      <c r="BB47" s="551">
        <v>6.666666666666667</v>
      </c>
      <c r="BC47" s="534" t="s">
        <v>2274</v>
      </c>
      <c r="BD47" s="548">
        <v>0.02</v>
      </c>
      <c r="BE47" s="548">
        <v>7.0000000000000007E-2</v>
      </c>
      <c r="BF47" s="534" t="s">
        <v>2179</v>
      </c>
      <c r="BG47" s="536"/>
      <c r="BH47" s="537">
        <f t="shared" si="31"/>
        <v>7.7</v>
      </c>
      <c r="BI47" s="537">
        <f t="shared" si="32"/>
        <v>1.7</v>
      </c>
      <c r="BJ47" s="537">
        <f t="shared" si="33"/>
        <v>53.9</v>
      </c>
      <c r="BK47" s="537">
        <f t="shared" si="34"/>
        <v>7</v>
      </c>
      <c r="BL47" s="537">
        <f t="shared" si="35"/>
        <v>9.5</v>
      </c>
      <c r="BM47" s="537">
        <f t="shared" si="36"/>
        <v>5.6</v>
      </c>
      <c r="BN47" s="537">
        <f t="shared" si="37"/>
        <v>5.5</v>
      </c>
      <c r="BO47" s="537">
        <f t="shared" si="38"/>
        <v>9.1000000000000085</v>
      </c>
      <c r="BP47" s="537">
        <f t="shared" si="18"/>
        <v>100</v>
      </c>
      <c r="BQ47" s="534" t="s">
        <v>1979</v>
      </c>
      <c r="BR47" s="556">
        <v>8.8540000000000008E-2</v>
      </c>
      <c r="BS47" s="556">
        <v>8.8540000000000008E-2</v>
      </c>
      <c r="BT47" s="556">
        <v>1.719E-2</v>
      </c>
      <c r="BU47" s="556">
        <v>7.3859999999999995E-2</v>
      </c>
      <c r="BV47" s="556">
        <v>4.929E-2</v>
      </c>
      <c r="BW47" s="557" t="s">
        <v>2275</v>
      </c>
      <c r="BX47" s="534" t="s">
        <v>2276</v>
      </c>
      <c r="DH47" s="539" t="str">
        <f t="shared" si="28"/>
        <v>South Sudan</v>
      </c>
      <c r="DI47" s="539" t="str">
        <f t="shared" si="29"/>
        <v>Africa</v>
      </c>
      <c r="DJ47" s="539" t="str">
        <f t="shared" si="30"/>
        <v>Eastern Africa</v>
      </c>
      <c r="DK47" s="539" t="e">
        <f>VLOOKUP(DH47,#REF!,1)</f>
        <v>#REF!</v>
      </c>
      <c r="DL47" s="539" t="e">
        <f>VLOOKUP(DK47,#REF!,2,FALSE)</f>
        <v>#REF!</v>
      </c>
      <c r="DN47" s="539" t="s">
        <v>2277</v>
      </c>
      <c r="DO47" s="539" t="s">
        <v>2278</v>
      </c>
    </row>
    <row r="48" spans="3:119">
      <c r="C48" s="463" t="s">
        <v>2273</v>
      </c>
      <c r="D48" s="519"/>
      <c r="E48" s="731">
        <v>1263</v>
      </c>
      <c r="F48" s="520" t="s">
        <v>2079</v>
      </c>
      <c r="G48" s="521" t="s">
        <v>4368</v>
      </c>
      <c r="H48" s="520"/>
      <c r="I48" s="521"/>
      <c r="J48" s="520"/>
      <c r="AW48" s="1395" t="s">
        <v>2730</v>
      </c>
      <c r="AX48" s="1395" t="s">
        <v>2032</v>
      </c>
      <c r="AY48" s="1396" t="s">
        <v>2063</v>
      </c>
      <c r="AZ48" s="1395">
        <v>352</v>
      </c>
      <c r="BA48" s="527" t="s">
        <v>1977</v>
      </c>
      <c r="BB48" s="551">
        <v>4.301075268817204</v>
      </c>
      <c r="BC48" s="534" t="s">
        <v>2274</v>
      </c>
      <c r="BD48" s="548">
        <v>0.02</v>
      </c>
      <c r="BE48" s="548">
        <v>7.0000000000000007E-2</v>
      </c>
      <c r="BF48" s="534" t="s">
        <v>2179</v>
      </c>
      <c r="BG48" s="536"/>
      <c r="BH48" s="537">
        <f t="shared" si="31"/>
        <v>7.7</v>
      </c>
      <c r="BI48" s="537">
        <f t="shared" si="32"/>
        <v>1.7</v>
      </c>
      <c r="BJ48" s="537">
        <f t="shared" si="33"/>
        <v>53.9</v>
      </c>
      <c r="BK48" s="537">
        <f t="shared" si="34"/>
        <v>7</v>
      </c>
      <c r="BL48" s="537">
        <f t="shared" si="35"/>
        <v>9.5</v>
      </c>
      <c r="BM48" s="537">
        <f t="shared" si="36"/>
        <v>5.6</v>
      </c>
      <c r="BN48" s="537">
        <f t="shared" si="37"/>
        <v>5.5</v>
      </c>
      <c r="BO48" s="537">
        <f t="shared" si="38"/>
        <v>9.1000000000000085</v>
      </c>
      <c r="BP48" s="537">
        <f t="shared" si="18"/>
        <v>100</v>
      </c>
      <c r="BQ48" s="534" t="s">
        <v>1979</v>
      </c>
      <c r="BR48" s="556">
        <v>8.8540000000000008E-2</v>
      </c>
      <c r="BS48" s="556">
        <v>8.8540000000000008E-2</v>
      </c>
      <c r="BT48" s="556">
        <v>1.719E-2</v>
      </c>
      <c r="BU48" s="556">
        <v>7.3859999999999995E-2</v>
      </c>
      <c r="BV48" s="556">
        <v>4.929E-2</v>
      </c>
      <c r="BW48" s="557" t="s">
        <v>2275</v>
      </c>
      <c r="BX48" s="534" t="s">
        <v>2276</v>
      </c>
      <c r="DH48" s="539" t="str">
        <f t="shared" si="28"/>
        <v>Sudan</v>
      </c>
      <c r="DI48" s="539" t="str">
        <f t="shared" si="29"/>
        <v>Africa</v>
      </c>
      <c r="DJ48" s="539" t="str">
        <f t="shared" si="30"/>
        <v>Eastern Africa</v>
      </c>
      <c r="DK48" s="539" t="e">
        <f>VLOOKUP(DH48,#REF!,1)</f>
        <v>#REF!</v>
      </c>
      <c r="DL48" s="539" t="e">
        <f>VLOOKUP(DK48,#REF!,2,FALSE)</f>
        <v>#REF!</v>
      </c>
      <c r="DN48" s="539" t="s">
        <v>2280</v>
      </c>
      <c r="DO48" s="539" t="s">
        <v>2281</v>
      </c>
    </row>
    <row r="49" spans="3:119">
      <c r="C49" s="463" t="s">
        <v>2279</v>
      </c>
      <c r="D49" s="519"/>
      <c r="E49" s="731">
        <v>1382</v>
      </c>
      <c r="F49" s="520" t="s">
        <v>2079</v>
      </c>
      <c r="G49" s="521" t="s">
        <v>4368</v>
      </c>
      <c r="H49" s="520"/>
      <c r="I49" s="521"/>
      <c r="J49" s="520"/>
      <c r="AW49" s="1395" t="s">
        <v>2737</v>
      </c>
      <c r="AX49" s="1395" t="s">
        <v>2032</v>
      </c>
      <c r="AY49" s="1396" t="s">
        <v>2063</v>
      </c>
      <c r="AZ49" s="1395">
        <v>477</v>
      </c>
      <c r="BA49" s="527" t="s">
        <v>1977</v>
      </c>
      <c r="BB49" s="551">
        <v>10.526315789473685</v>
      </c>
      <c r="BC49" s="534" t="s">
        <v>2274</v>
      </c>
      <c r="BD49" s="548">
        <v>0.02</v>
      </c>
      <c r="BE49" s="548">
        <v>7.0000000000000007E-2</v>
      </c>
      <c r="BF49" s="534" t="s">
        <v>2179</v>
      </c>
      <c r="BG49" s="536"/>
      <c r="BH49" s="537">
        <f t="shared" si="31"/>
        <v>7.7</v>
      </c>
      <c r="BI49" s="537">
        <f t="shared" si="32"/>
        <v>1.7</v>
      </c>
      <c r="BJ49" s="537">
        <f t="shared" si="33"/>
        <v>53.9</v>
      </c>
      <c r="BK49" s="537">
        <f t="shared" si="34"/>
        <v>7</v>
      </c>
      <c r="BL49" s="537">
        <f t="shared" si="35"/>
        <v>9.5</v>
      </c>
      <c r="BM49" s="537">
        <f t="shared" si="36"/>
        <v>5.6</v>
      </c>
      <c r="BN49" s="537">
        <f t="shared" si="37"/>
        <v>5.5</v>
      </c>
      <c r="BO49" s="537">
        <f t="shared" si="38"/>
        <v>9.1000000000000085</v>
      </c>
      <c r="BP49" s="537">
        <f t="shared" si="18"/>
        <v>100</v>
      </c>
      <c r="BQ49" s="534" t="s">
        <v>1979</v>
      </c>
      <c r="BR49" s="556">
        <v>8.8540000000000008E-2</v>
      </c>
      <c r="BS49" s="556">
        <v>8.8540000000000008E-2</v>
      </c>
      <c r="BT49" s="556">
        <v>1.719E-2</v>
      </c>
      <c r="BU49" s="556">
        <v>7.3859999999999995E-2</v>
      </c>
      <c r="BV49" s="556">
        <v>4.929E-2</v>
      </c>
      <c r="BW49" s="557" t="s">
        <v>2275</v>
      </c>
      <c r="BX49" s="534" t="s">
        <v>2276</v>
      </c>
      <c r="DH49" s="539" t="str">
        <f t="shared" si="28"/>
        <v>Tanzania</v>
      </c>
      <c r="DI49" s="539" t="str">
        <f t="shared" si="29"/>
        <v>Africa</v>
      </c>
      <c r="DJ49" s="539" t="str">
        <f t="shared" si="30"/>
        <v>Eastern Africa</v>
      </c>
      <c r="DK49" s="539" t="e">
        <f>VLOOKUP(DH49,#REF!,1)</f>
        <v>#REF!</v>
      </c>
      <c r="DL49" s="539" t="e">
        <f>VLOOKUP(DK49,#REF!,2,FALSE)</f>
        <v>#REF!</v>
      </c>
      <c r="DN49" s="539" t="s">
        <v>2283</v>
      </c>
      <c r="DO49" s="539" t="s">
        <v>2284</v>
      </c>
    </row>
    <row r="50" spans="3:119">
      <c r="C50" s="463" t="s">
        <v>2282</v>
      </c>
      <c r="D50" s="519"/>
      <c r="E50" s="731">
        <v>942</v>
      </c>
      <c r="F50" s="520" t="s">
        <v>2079</v>
      </c>
      <c r="G50" s="521" t="s">
        <v>4368</v>
      </c>
      <c r="H50" s="520"/>
      <c r="I50" s="521"/>
      <c r="J50" s="520"/>
      <c r="AW50" s="1395" t="s">
        <v>2747</v>
      </c>
      <c r="AX50" s="1395" t="s">
        <v>2032</v>
      </c>
      <c r="AY50" s="1396" t="s">
        <v>2063</v>
      </c>
      <c r="AZ50" s="1395">
        <v>140</v>
      </c>
      <c r="BA50" s="527" t="s">
        <v>1977</v>
      </c>
      <c r="BB50" s="551">
        <v>6.4516129032258061</v>
      </c>
      <c r="BC50" s="534" t="s">
        <v>2274</v>
      </c>
      <c r="BD50" s="548">
        <v>0.02</v>
      </c>
      <c r="BE50" s="548">
        <v>7.0000000000000007E-2</v>
      </c>
      <c r="BF50" s="534" t="s">
        <v>2179</v>
      </c>
      <c r="BG50" s="536"/>
      <c r="BH50" s="537">
        <f t="shared" si="31"/>
        <v>7.7</v>
      </c>
      <c r="BI50" s="537">
        <f t="shared" si="32"/>
        <v>1.7</v>
      </c>
      <c r="BJ50" s="537">
        <f t="shared" si="33"/>
        <v>53.9</v>
      </c>
      <c r="BK50" s="537">
        <f t="shared" si="34"/>
        <v>7</v>
      </c>
      <c r="BL50" s="537">
        <f t="shared" si="35"/>
        <v>9.5</v>
      </c>
      <c r="BM50" s="537">
        <f t="shared" si="36"/>
        <v>5.6</v>
      </c>
      <c r="BN50" s="537">
        <f t="shared" si="37"/>
        <v>5.5</v>
      </c>
      <c r="BO50" s="537">
        <f t="shared" si="38"/>
        <v>9.1000000000000085</v>
      </c>
      <c r="BP50" s="537">
        <f t="shared" si="18"/>
        <v>100</v>
      </c>
      <c r="BQ50" s="534" t="s">
        <v>1979</v>
      </c>
      <c r="BR50" s="556">
        <v>8.8540000000000008E-2</v>
      </c>
      <c r="BS50" s="556">
        <v>8.8540000000000008E-2</v>
      </c>
      <c r="BT50" s="556">
        <v>1.719E-2</v>
      </c>
      <c r="BU50" s="556">
        <v>7.3859999999999995E-2</v>
      </c>
      <c r="BV50" s="556">
        <v>4.929E-2</v>
      </c>
      <c r="BW50" s="557" t="s">
        <v>2275</v>
      </c>
      <c r="BX50" s="534" t="s">
        <v>2276</v>
      </c>
      <c r="DH50" s="539" t="str">
        <f t="shared" si="28"/>
        <v>Uganda</v>
      </c>
      <c r="DI50" s="539" t="str">
        <f t="shared" si="29"/>
        <v>Africa</v>
      </c>
      <c r="DJ50" s="539" t="str">
        <f t="shared" si="30"/>
        <v>Eastern Africa</v>
      </c>
      <c r="DK50" s="539" t="e">
        <f>VLOOKUP(DH50,#REF!,1)</f>
        <v>#REF!</v>
      </c>
      <c r="DL50" s="539" t="e">
        <f>VLOOKUP(DK50,#REF!,2,FALSE)</f>
        <v>#REF!</v>
      </c>
      <c r="DN50" s="539" t="s">
        <v>2286</v>
      </c>
      <c r="DO50" s="539" t="s">
        <v>2287</v>
      </c>
    </row>
    <row r="51" spans="3:119">
      <c r="C51" s="463" t="s">
        <v>2285</v>
      </c>
      <c r="D51" s="519"/>
      <c r="E51" s="731">
        <v>2244</v>
      </c>
      <c r="F51" s="520" t="s">
        <v>2079</v>
      </c>
      <c r="G51" s="521" t="s">
        <v>4368</v>
      </c>
      <c r="H51" s="520"/>
      <c r="I51" s="521"/>
      <c r="J51" s="520"/>
      <c r="AW51" s="1395" t="s">
        <v>2761</v>
      </c>
      <c r="AX51" s="1395" t="s">
        <v>2032</v>
      </c>
      <c r="AY51" s="1396" t="s">
        <v>2063</v>
      </c>
      <c r="AZ51" s="1395">
        <v>99</v>
      </c>
      <c r="BA51" s="527" t="s">
        <v>1977</v>
      </c>
      <c r="BB51" s="551">
        <v>0</v>
      </c>
      <c r="BC51" s="534" t="s">
        <v>2274</v>
      </c>
      <c r="BD51" s="548">
        <v>0.02</v>
      </c>
      <c r="BE51" s="548">
        <v>7.0000000000000007E-2</v>
      </c>
      <c r="BF51" s="534" t="s">
        <v>2179</v>
      </c>
      <c r="BG51" s="536"/>
      <c r="BH51" s="537">
        <f t="shared" si="31"/>
        <v>7.7</v>
      </c>
      <c r="BI51" s="537">
        <f t="shared" si="32"/>
        <v>1.7</v>
      </c>
      <c r="BJ51" s="537">
        <f t="shared" si="33"/>
        <v>53.9</v>
      </c>
      <c r="BK51" s="537">
        <f t="shared" si="34"/>
        <v>7</v>
      </c>
      <c r="BL51" s="537">
        <f t="shared" si="35"/>
        <v>9.5</v>
      </c>
      <c r="BM51" s="537">
        <f t="shared" si="36"/>
        <v>5.6</v>
      </c>
      <c r="BN51" s="537">
        <f t="shared" si="37"/>
        <v>5.5</v>
      </c>
      <c r="BO51" s="537">
        <f t="shared" si="38"/>
        <v>9.1000000000000085</v>
      </c>
      <c r="BP51" s="537">
        <f t="shared" si="18"/>
        <v>100</v>
      </c>
      <c r="BQ51" s="534" t="s">
        <v>1979</v>
      </c>
      <c r="BR51" s="556">
        <v>8.8540000000000008E-2</v>
      </c>
      <c r="BS51" s="556">
        <v>8.8540000000000008E-2</v>
      </c>
      <c r="BT51" s="556">
        <v>1.719E-2</v>
      </c>
      <c r="BU51" s="556">
        <v>7.3859999999999995E-2</v>
      </c>
      <c r="BV51" s="556">
        <v>4.929E-2</v>
      </c>
      <c r="BW51" s="557" t="s">
        <v>2275</v>
      </c>
      <c r="BX51" s="534" t="s">
        <v>2276</v>
      </c>
      <c r="DH51" s="539" t="str">
        <f t="shared" si="28"/>
        <v>Zambia</v>
      </c>
      <c r="DI51" s="539" t="str">
        <f t="shared" si="29"/>
        <v>Africa</v>
      </c>
      <c r="DJ51" s="539" t="str">
        <f t="shared" si="30"/>
        <v>Eastern Africa</v>
      </c>
      <c r="DK51" s="539" t="e">
        <f>VLOOKUP(DH51,#REF!,1)</f>
        <v>#REF!</v>
      </c>
      <c r="DL51" s="539" t="e">
        <f>VLOOKUP(DK51,#REF!,2,FALSE)</f>
        <v>#REF!</v>
      </c>
      <c r="DN51" s="539" t="s">
        <v>2289</v>
      </c>
      <c r="DO51" s="539" t="s">
        <v>2290</v>
      </c>
    </row>
    <row r="52" spans="3:119">
      <c r="C52" s="463" t="s">
        <v>2288</v>
      </c>
      <c r="D52" s="519"/>
      <c r="E52" s="731">
        <v>1421</v>
      </c>
      <c r="F52" s="520" t="s">
        <v>2079</v>
      </c>
      <c r="G52" s="521" t="s">
        <v>4368</v>
      </c>
      <c r="H52" s="520"/>
      <c r="I52" s="521"/>
      <c r="J52" s="520"/>
      <c r="AW52" s="1395" t="s">
        <v>2762</v>
      </c>
      <c r="AX52" s="1395" t="s">
        <v>2032</v>
      </c>
      <c r="AY52" s="1396" t="s">
        <v>2063</v>
      </c>
      <c r="AZ52" s="1395">
        <v>648</v>
      </c>
      <c r="BA52" s="527" t="s">
        <v>1977</v>
      </c>
      <c r="BB52" s="551">
        <v>7.4626865671641784</v>
      </c>
      <c r="BC52" s="534" t="s">
        <v>2274</v>
      </c>
      <c r="BD52" s="548">
        <v>0.02</v>
      </c>
      <c r="BE52" s="548">
        <v>7.0000000000000007E-2</v>
      </c>
      <c r="BF52" s="534" t="s">
        <v>2179</v>
      </c>
      <c r="BG52" s="536"/>
      <c r="BH52" s="537">
        <f t="shared" si="31"/>
        <v>7.7</v>
      </c>
      <c r="BI52" s="537">
        <f t="shared" si="32"/>
        <v>1.7</v>
      </c>
      <c r="BJ52" s="537">
        <f t="shared" si="33"/>
        <v>53.9</v>
      </c>
      <c r="BK52" s="537">
        <f t="shared" si="34"/>
        <v>7</v>
      </c>
      <c r="BL52" s="537">
        <f t="shared" si="35"/>
        <v>9.5</v>
      </c>
      <c r="BM52" s="537">
        <f t="shared" si="36"/>
        <v>5.6</v>
      </c>
      <c r="BN52" s="537">
        <f t="shared" si="37"/>
        <v>5.5</v>
      </c>
      <c r="BO52" s="537">
        <f t="shared" si="38"/>
        <v>9.1000000000000085</v>
      </c>
      <c r="BP52" s="537">
        <f t="shared" si="18"/>
        <v>100</v>
      </c>
      <c r="BQ52" s="534" t="s">
        <v>1979</v>
      </c>
      <c r="BR52" s="556">
        <v>8.8540000000000008E-2</v>
      </c>
      <c r="BS52" s="556">
        <v>8.8540000000000008E-2</v>
      </c>
      <c r="BT52" s="556">
        <v>1.719E-2</v>
      </c>
      <c r="BU52" s="556">
        <v>7.3859999999999995E-2</v>
      </c>
      <c r="BV52" s="556">
        <v>4.929E-2</v>
      </c>
      <c r="BW52" s="557" t="s">
        <v>2275</v>
      </c>
      <c r="BX52" s="534" t="s">
        <v>2276</v>
      </c>
      <c r="DH52" s="539" t="str">
        <f t="shared" si="28"/>
        <v>Zanzibar (Tanzania)</v>
      </c>
      <c r="DI52" s="539" t="str">
        <f t="shared" si="29"/>
        <v>Africa</v>
      </c>
      <c r="DJ52" s="539" t="str">
        <f t="shared" si="30"/>
        <v>Eastern Africa</v>
      </c>
      <c r="DK52" s="539" t="e">
        <f>VLOOKUP(DH52,#REF!,1)</f>
        <v>#REF!</v>
      </c>
      <c r="DL52" s="539" t="e">
        <f>VLOOKUP(DK52,#REF!,2,FALSE)</f>
        <v>#REF!</v>
      </c>
      <c r="DN52" s="539" t="s">
        <v>2292</v>
      </c>
      <c r="DO52" s="539" t="s">
        <v>2293</v>
      </c>
    </row>
    <row r="53" spans="3:119">
      <c r="C53" s="463" t="s">
        <v>2291</v>
      </c>
      <c r="D53" s="519"/>
      <c r="E53" s="731">
        <v>1858</v>
      </c>
      <c r="F53" s="520" t="s">
        <v>2079</v>
      </c>
      <c r="G53" s="521" t="s">
        <v>4368</v>
      </c>
      <c r="H53" s="520"/>
      <c r="I53" s="521"/>
      <c r="J53" s="520"/>
      <c r="AW53" s="1395" t="s">
        <v>2764</v>
      </c>
      <c r="AX53" s="1395" t="s">
        <v>2032</v>
      </c>
      <c r="AY53" s="1396" t="s">
        <v>2063</v>
      </c>
      <c r="AZ53" s="1395">
        <v>883</v>
      </c>
      <c r="BA53" s="527" t="s">
        <v>1977</v>
      </c>
      <c r="BB53" s="551">
        <v>0</v>
      </c>
      <c r="BC53" s="534" t="s">
        <v>2274</v>
      </c>
      <c r="BD53" s="548">
        <v>0.02</v>
      </c>
      <c r="BE53" s="548">
        <v>7.0000000000000007E-2</v>
      </c>
      <c r="BF53" s="534" t="s">
        <v>2179</v>
      </c>
      <c r="BG53" s="536"/>
      <c r="BH53" s="537">
        <f t="shared" si="31"/>
        <v>7.7</v>
      </c>
      <c r="BI53" s="537">
        <f t="shared" si="32"/>
        <v>1.7</v>
      </c>
      <c r="BJ53" s="537">
        <f t="shared" si="33"/>
        <v>53.9</v>
      </c>
      <c r="BK53" s="537">
        <f t="shared" si="34"/>
        <v>7</v>
      </c>
      <c r="BL53" s="537">
        <f t="shared" si="35"/>
        <v>9.5</v>
      </c>
      <c r="BM53" s="537">
        <f t="shared" si="36"/>
        <v>5.6</v>
      </c>
      <c r="BN53" s="537">
        <f t="shared" si="37"/>
        <v>5.5</v>
      </c>
      <c r="BO53" s="537">
        <f t="shared" si="38"/>
        <v>9.1000000000000085</v>
      </c>
      <c r="BP53" s="537">
        <f t="shared" si="18"/>
        <v>100</v>
      </c>
      <c r="BQ53" s="534" t="s">
        <v>1979</v>
      </c>
      <c r="BR53" s="556">
        <v>8.8540000000000008E-2</v>
      </c>
      <c r="BS53" s="556">
        <v>8.8540000000000008E-2</v>
      </c>
      <c r="BT53" s="556">
        <v>1.719E-2</v>
      </c>
      <c r="BU53" s="556">
        <v>7.3859999999999995E-2</v>
      </c>
      <c r="BV53" s="556">
        <v>4.929E-2</v>
      </c>
      <c r="BW53" s="557" t="s">
        <v>2275</v>
      </c>
      <c r="BX53" s="534" t="s">
        <v>2276</v>
      </c>
      <c r="DH53" s="539" t="str">
        <f t="shared" si="28"/>
        <v>Zimbabwe</v>
      </c>
      <c r="DI53" s="539" t="str">
        <f t="shared" si="29"/>
        <v>Africa</v>
      </c>
      <c r="DJ53" s="539" t="str">
        <f t="shared" si="30"/>
        <v>Eastern Africa</v>
      </c>
      <c r="DK53" s="539" t="e">
        <f>VLOOKUP(DH53,#REF!,1)</f>
        <v>#REF!</v>
      </c>
      <c r="DL53" s="539" t="e">
        <f>VLOOKUP(DK53,#REF!,2,FALSE)</f>
        <v>#REF!</v>
      </c>
      <c r="DN53" s="539" t="s">
        <v>2295</v>
      </c>
      <c r="DO53" s="539" t="s">
        <v>2296</v>
      </c>
    </row>
    <row r="54" spans="3:119">
      <c r="C54" s="463" t="s">
        <v>2294</v>
      </c>
      <c r="D54" s="519"/>
      <c r="E54" s="731">
        <v>3623</v>
      </c>
      <c r="F54" s="520" t="s">
        <v>2079</v>
      </c>
      <c r="G54" s="521" t="s">
        <v>4368</v>
      </c>
      <c r="H54" s="520"/>
      <c r="I54" s="521"/>
      <c r="J54" s="520"/>
      <c r="AW54" s="1394" t="s">
        <v>43</v>
      </c>
      <c r="AX54" s="1394" t="s">
        <v>1976</v>
      </c>
      <c r="AY54" s="1396" t="s">
        <v>1980</v>
      </c>
      <c r="AZ54" s="1394">
        <v>555</v>
      </c>
      <c r="BA54" s="527" t="s">
        <v>2344</v>
      </c>
      <c r="BB54" s="551">
        <v>5.3333333333333339</v>
      </c>
      <c r="BC54" s="534" t="s">
        <v>2274</v>
      </c>
      <c r="BD54" s="548">
        <v>0.02</v>
      </c>
      <c r="BE54" s="548">
        <v>7.0000000000000007E-2</v>
      </c>
      <c r="BF54" s="534" t="s">
        <v>2179</v>
      </c>
      <c r="BG54" s="536"/>
      <c r="BH54" s="537">
        <f t="shared" si="31"/>
        <v>18.8</v>
      </c>
      <c r="BI54" s="537">
        <f t="shared" si="32"/>
        <v>3.5</v>
      </c>
      <c r="BJ54" s="537">
        <f t="shared" si="33"/>
        <v>26.2</v>
      </c>
      <c r="BK54" s="537">
        <f t="shared" si="34"/>
        <v>3.5</v>
      </c>
      <c r="BL54" s="537">
        <f t="shared" si="35"/>
        <v>9.5</v>
      </c>
      <c r="BM54" s="537">
        <f t="shared" si="36"/>
        <v>5.6</v>
      </c>
      <c r="BN54" s="537">
        <f t="shared" si="37"/>
        <v>14.3</v>
      </c>
      <c r="BO54" s="537">
        <f t="shared" si="38"/>
        <v>18.600000000000009</v>
      </c>
      <c r="BP54" s="537">
        <f t="shared" si="18"/>
        <v>100</v>
      </c>
      <c r="BQ54" s="534" t="s">
        <v>1979</v>
      </c>
      <c r="BR54" s="556">
        <v>8.8540000000000008E-2</v>
      </c>
      <c r="BS54" s="556">
        <v>8.8540000000000008E-2</v>
      </c>
      <c r="BT54" s="556">
        <v>1.719E-2</v>
      </c>
      <c r="BU54" s="556">
        <v>7.3859999999999995E-2</v>
      </c>
      <c r="BV54" s="556">
        <v>4.929E-2</v>
      </c>
      <c r="BW54" s="557" t="s">
        <v>2275</v>
      </c>
      <c r="BX54" s="534" t="s">
        <v>2276</v>
      </c>
      <c r="DH54" s="539" t="str">
        <f t="shared" si="28"/>
        <v>China</v>
      </c>
      <c r="DI54" s="539" t="str">
        <f t="shared" si="29"/>
        <v>Asia</v>
      </c>
      <c r="DJ54" s="539" t="str">
        <f t="shared" si="30"/>
        <v>Eastern Asia</v>
      </c>
      <c r="DK54" s="539" t="e">
        <f>VLOOKUP(DH54,#REF!,1)</f>
        <v>#REF!</v>
      </c>
      <c r="DL54" s="539" t="e">
        <f>VLOOKUP(DK54,#REF!,2,FALSE)</f>
        <v>#REF!</v>
      </c>
      <c r="DN54" s="539" t="s">
        <v>2298</v>
      </c>
      <c r="DO54" s="539" t="s">
        <v>2299</v>
      </c>
    </row>
    <row r="55" spans="3:119">
      <c r="C55" s="463" t="s">
        <v>2297</v>
      </c>
      <c r="D55" s="519"/>
      <c r="E55" s="731">
        <v>4728</v>
      </c>
      <c r="F55" s="520" t="s">
        <v>2079</v>
      </c>
      <c r="G55" s="521" t="s">
        <v>4368</v>
      </c>
      <c r="H55" s="520"/>
      <c r="I55" s="521"/>
      <c r="J55" s="520"/>
      <c r="AW55" s="1395" t="s">
        <v>2524</v>
      </c>
      <c r="AX55" s="1395" t="s">
        <v>1976</v>
      </c>
      <c r="AY55" s="1396" t="s">
        <v>1980</v>
      </c>
      <c r="AZ55" s="1395">
        <v>396</v>
      </c>
      <c r="BA55" s="527" t="s">
        <v>1977</v>
      </c>
      <c r="BB55" s="551">
        <v>17.647058823529413</v>
      </c>
      <c r="BC55" s="534" t="s">
        <v>2274</v>
      </c>
      <c r="BD55" s="548">
        <v>0.02</v>
      </c>
      <c r="BE55" s="548">
        <v>7.0000000000000007E-2</v>
      </c>
      <c r="BF55" s="534" t="s">
        <v>2179</v>
      </c>
      <c r="BG55" s="536"/>
      <c r="BH55" s="537">
        <f t="shared" si="31"/>
        <v>18.8</v>
      </c>
      <c r="BI55" s="537">
        <f t="shared" si="32"/>
        <v>3.5</v>
      </c>
      <c r="BJ55" s="537">
        <f t="shared" si="33"/>
        <v>26.2</v>
      </c>
      <c r="BK55" s="537">
        <f t="shared" si="34"/>
        <v>3.5</v>
      </c>
      <c r="BL55" s="537">
        <f t="shared" si="35"/>
        <v>9.5</v>
      </c>
      <c r="BM55" s="537">
        <f t="shared" si="36"/>
        <v>5.6</v>
      </c>
      <c r="BN55" s="537">
        <f t="shared" si="37"/>
        <v>14.3</v>
      </c>
      <c r="BO55" s="537">
        <f t="shared" si="38"/>
        <v>18.600000000000009</v>
      </c>
      <c r="BP55" s="537">
        <f t="shared" si="18"/>
        <v>100</v>
      </c>
      <c r="BQ55" s="534" t="s">
        <v>1979</v>
      </c>
      <c r="BR55" s="556">
        <v>8.8540000000000008E-2</v>
      </c>
      <c r="BS55" s="556">
        <v>8.8540000000000008E-2</v>
      </c>
      <c r="BT55" s="556">
        <v>1.719E-2</v>
      </c>
      <c r="BU55" s="556">
        <v>7.3859999999999995E-2</v>
      </c>
      <c r="BV55" s="556">
        <v>4.929E-2</v>
      </c>
      <c r="BW55" s="557" t="s">
        <v>2275</v>
      </c>
      <c r="BX55" s="534" t="s">
        <v>2276</v>
      </c>
      <c r="DH55" s="539" t="str">
        <f t="shared" si="28"/>
        <v>Hong Kong (China)</v>
      </c>
      <c r="DI55" s="539" t="str">
        <f t="shared" si="29"/>
        <v>Asia</v>
      </c>
      <c r="DJ55" s="539" t="str">
        <f t="shared" si="30"/>
        <v>Eastern Asia</v>
      </c>
      <c r="DK55" s="539" t="e">
        <f>VLOOKUP(DH55,#REF!,1)</f>
        <v>#REF!</v>
      </c>
      <c r="DL55" s="539" t="e">
        <f>VLOOKUP(DK55,#REF!,2,FALSE)</f>
        <v>#REF!</v>
      </c>
      <c r="DN55" s="539" t="s">
        <v>2301</v>
      </c>
      <c r="DO55" s="539" t="s">
        <v>2302</v>
      </c>
    </row>
    <row r="56" spans="3:119">
      <c r="C56" s="463" t="s">
        <v>2300</v>
      </c>
      <c r="D56" s="519"/>
      <c r="E56" s="731">
        <v>1780</v>
      </c>
      <c r="F56" s="520" t="s">
        <v>2079</v>
      </c>
      <c r="G56" s="521" t="s">
        <v>4368</v>
      </c>
      <c r="H56" s="520"/>
      <c r="I56" s="521"/>
      <c r="J56" s="520"/>
      <c r="AW56" s="1395" t="s">
        <v>52</v>
      </c>
      <c r="AX56" s="1395" t="s">
        <v>1976</v>
      </c>
      <c r="AY56" s="1396" t="s">
        <v>1980</v>
      </c>
      <c r="AZ56" s="1395">
        <v>506</v>
      </c>
      <c r="BA56" s="527" t="s">
        <v>2562</v>
      </c>
      <c r="BB56" s="551">
        <v>0</v>
      </c>
      <c r="BC56" s="534" t="s">
        <v>2274</v>
      </c>
      <c r="BD56" s="548">
        <v>0.02</v>
      </c>
      <c r="BE56" s="548">
        <v>7.0000000000000007E-2</v>
      </c>
      <c r="BF56" s="534" t="s">
        <v>2179</v>
      </c>
      <c r="BG56" s="536"/>
      <c r="BH56" s="537">
        <f t="shared" si="31"/>
        <v>18.8</v>
      </c>
      <c r="BI56" s="537">
        <f t="shared" si="32"/>
        <v>3.5</v>
      </c>
      <c r="BJ56" s="537">
        <f t="shared" si="33"/>
        <v>26.2</v>
      </c>
      <c r="BK56" s="537">
        <f t="shared" si="34"/>
        <v>3.5</v>
      </c>
      <c r="BL56" s="537">
        <f t="shared" si="35"/>
        <v>9.5</v>
      </c>
      <c r="BM56" s="537">
        <f t="shared" si="36"/>
        <v>5.6</v>
      </c>
      <c r="BN56" s="537">
        <f t="shared" si="37"/>
        <v>14.3</v>
      </c>
      <c r="BO56" s="537">
        <f t="shared" si="38"/>
        <v>18.600000000000009</v>
      </c>
      <c r="BP56" s="537">
        <f t="shared" si="18"/>
        <v>100</v>
      </c>
      <c r="BQ56" s="534" t="s">
        <v>1979</v>
      </c>
      <c r="BR56" s="556">
        <v>8.8540000000000008E-2</v>
      </c>
      <c r="BS56" s="556">
        <v>8.8540000000000008E-2</v>
      </c>
      <c r="BT56" s="556">
        <v>1.719E-2</v>
      </c>
      <c r="BU56" s="556">
        <v>7.3859999999999995E-2</v>
      </c>
      <c r="BV56" s="556">
        <v>4.929E-2</v>
      </c>
      <c r="BW56" s="557" t="s">
        <v>2275</v>
      </c>
      <c r="BX56" s="534" t="s">
        <v>2276</v>
      </c>
      <c r="DH56" s="539" t="str">
        <f t="shared" si="28"/>
        <v>Japan</v>
      </c>
      <c r="DI56" s="539" t="str">
        <f t="shared" si="29"/>
        <v>Asia</v>
      </c>
      <c r="DJ56" s="539" t="str">
        <f t="shared" si="30"/>
        <v>Eastern Asia</v>
      </c>
      <c r="DK56" s="539" t="e">
        <f>VLOOKUP(DH56,#REF!,1)</f>
        <v>#REF!</v>
      </c>
      <c r="DL56" s="539" t="e">
        <f>VLOOKUP(DK56,#REF!,2,FALSE)</f>
        <v>#REF!</v>
      </c>
      <c r="DN56" s="539" t="s">
        <v>2304</v>
      </c>
      <c r="DO56" s="539" t="s">
        <v>2305</v>
      </c>
    </row>
    <row r="57" spans="3:119">
      <c r="C57" s="463" t="s">
        <v>2303</v>
      </c>
      <c r="D57" s="519"/>
      <c r="E57" s="731">
        <v>2262</v>
      </c>
      <c r="F57" s="520" t="s">
        <v>2079</v>
      </c>
      <c r="G57" s="521" t="s">
        <v>4368</v>
      </c>
      <c r="H57" s="520"/>
      <c r="I57" s="521"/>
      <c r="J57" s="520"/>
      <c r="AW57" s="1395" t="s">
        <v>2584</v>
      </c>
      <c r="AX57" s="1395" t="s">
        <v>1976</v>
      </c>
      <c r="AY57" s="1396" t="s">
        <v>1980</v>
      </c>
      <c r="AZ57" s="1395">
        <v>407</v>
      </c>
      <c r="BA57" s="527" t="s">
        <v>1977</v>
      </c>
      <c r="BB57" s="551">
        <v>15.384615384615385</v>
      </c>
      <c r="BC57" s="534" t="s">
        <v>2274</v>
      </c>
      <c r="BD57" s="548">
        <v>0.02</v>
      </c>
      <c r="BE57" s="548">
        <v>7.0000000000000007E-2</v>
      </c>
      <c r="BF57" s="534" t="s">
        <v>2179</v>
      </c>
      <c r="BG57" s="536"/>
      <c r="BH57" s="537">
        <f t="shared" si="31"/>
        <v>18.8</v>
      </c>
      <c r="BI57" s="537">
        <f t="shared" si="32"/>
        <v>3.5</v>
      </c>
      <c r="BJ57" s="537">
        <f t="shared" si="33"/>
        <v>26.2</v>
      </c>
      <c r="BK57" s="537">
        <f t="shared" si="34"/>
        <v>3.5</v>
      </c>
      <c r="BL57" s="537">
        <f t="shared" si="35"/>
        <v>9.5</v>
      </c>
      <c r="BM57" s="537">
        <f t="shared" si="36"/>
        <v>5.6</v>
      </c>
      <c r="BN57" s="537">
        <f t="shared" si="37"/>
        <v>14.3</v>
      </c>
      <c r="BO57" s="537">
        <f t="shared" si="38"/>
        <v>18.600000000000009</v>
      </c>
      <c r="BP57" s="537">
        <f t="shared" si="18"/>
        <v>100</v>
      </c>
      <c r="BQ57" s="534" t="s">
        <v>1979</v>
      </c>
      <c r="BR57" s="556">
        <v>8.8540000000000008E-2</v>
      </c>
      <c r="BS57" s="556">
        <v>8.8540000000000008E-2</v>
      </c>
      <c r="BT57" s="556">
        <v>1.719E-2</v>
      </c>
      <c r="BU57" s="556">
        <v>7.3859999999999995E-2</v>
      </c>
      <c r="BV57" s="556">
        <v>4.929E-2</v>
      </c>
      <c r="BW57" s="557" t="s">
        <v>2275</v>
      </c>
      <c r="BX57" s="534" t="s">
        <v>2276</v>
      </c>
      <c r="DH57" s="539" t="str">
        <f t="shared" si="28"/>
        <v>Korea (North). Dem. People's Rep. of</v>
      </c>
      <c r="DI57" s="539" t="str">
        <f t="shared" si="29"/>
        <v>Asia</v>
      </c>
      <c r="DJ57" s="539" t="str">
        <f t="shared" si="30"/>
        <v>Eastern Asia</v>
      </c>
      <c r="DK57" s="539" t="e">
        <f>VLOOKUP(DH57,#REF!,1)</f>
        <v>#REF!</v>
      </c>
      <c r="DL57" s="539" t="e">
        <f>VLOOKUP(DK57,#REF!,2,FALSE)</f>
        <v>#REF!</v>
      </c>
      <c r="DN57" s="539" t="s">
        <v>2307</v>
      </c>
      <c r="DO57" s="539" t="s">
        <v>2308</v>
      </c>
    </row>
    <row r="58" spans="3:119">
      <c r="C58" s="463" t="s">
        <v>2306</v>
      </c>
      <c r="D58" s="519"/>
      <c r="E58" s="731">
        <v>2934</v>
      </c>
      <c r="F58" s="520" t="s">
        <v>2079</v>
      </c>
      <c r="G58" s="521" t="s">
        <v>4368</v>
      </c>
      <c r="H58" s="520"/>
      <c r="I58" s="521"/>
      <c r="J58" s="520"/>
      <c r="AW58" s="1395" t="s">
        <v>2587</v>
      </c>
      <c r="AX58" s="1395" t="s">
        <v>1976</v>
      </c>
      <c r="AY58" s="1396" t="s">
        <v>1980</v>
      </c>
      <c r="AZ58" s="1395">
        <v>500</v>
      </c>
      <c r="BA58" s="527" t="s">
        <v>2588</v>
      </c>
      <c r="BB58" s="551">
        <v>7.5757575757575761</v>
      </c>
      <c r="BC58" s="534" t="s">
        <v>2274</v>
      </c>
      <c r="BD58" s="548">
        <v>0.02</v>
      </c>
      <c r="BE58" s="548">
        <v>7.0000000000000007E-2</v>
      </c>
      <c r="BF58" s="534" t="s">
        <v>2179</v>
      </c>
      <c r="BG58" s="536"/>
      <c r="BH58" s="537">
        <f t="shared" si="31"/>
        <v>18.8</v>
      </c>
      <c r="BI58" s="537">
        <f t="shared" si="32"/>
        <v>3.5</v>
      </c>
      <c r="BJ58" s="537">
        <f t="shared" si="33"/>
        <v>26.2</v>
      </c>
      <c r="BK58" s="537">
        <f t="shared" si="34"/>
        <v>3.5</v>
      </c>
      <c r="BL58" s="537">
        <f t="shared" si="35"/>
        <v>9.5</v>
      </c>
      <c r="BM58" s="537">
        <f t="shared" si="36"/>
        <v>5.6</v>
      </c>
      <c r="BN58" s="537">
        <f t="shared" si="37"/>
        <v>14.3</v>
      </c>
      <c r="BO58" s="537">
        <f t="shared" si="38"/>
        <v>18.600000000000009</v>
      </c>
      <c r="BP58" s="537">
        <f t="shared" si="18"/>
        <v>100</v>
      </c>
      <c r="BQ58" s="534" t="s">
        <v>1979</v>
      </c>
      <c r="BR58" s="556">
        <v>8.8540000000000008E-2</v>
      </c>
      <c r="BS58" s="556">
        <v>8.8540000000000008E-2</v>
      </c>
      <c r="BT58" s="556">
        <v>1.719E-2</v>
      </c>
      <c r="BU58" s="556">
        <v>7.3859999999999995E-2</v>
      </c>
      <c r="BV58" s="556">
        <v>4.929E-2</v>
      </c>
      <c r="BW58" s="557" t="s">
        <v>2275</v>
      </c>
      <c r="BX58" s="534" t="s">
        <v>2276</v>
      </c>
      <c r="DH58" s="539" t="str">
        <f t="shared" si="28"/>
        <v>Korea (South). Republic of</v>
      </c>
      <c r="DI58" s="539" t="str">
        <f t="shared" si="29"/>
        <v>Asia</v>
      </c>
      <c r="DJ58" s="539" t="str">
        <f t="shared" si="30"/>
        <v>Eastern Asia</v>
      </c>
      <c r="DK58" s="539" t="e">
        <f>VLOOKUP(DH58,#REF!,1)</f>
        <v>#REF!</v>
      </c>
      <c r="DL58" s="539" t="e">
        <f>VLOOKUP(DK58,#REF!,2,FALSE)</f>
        <v>#REF!</v>
      </c>
      <c r="DN58" s="539" t="s">
        <v>2310</v>
      </c>
      <c r="DO58" s="539" t="s">
        <v>2311</v>
      </c>
    </row>
    <row r="59" spans="3:119">
      <c r="C59" s="463" t="s">
        <v>2309</v>
      </c>
      <c r="D59" s="519"/>
      <c r="E59" s="731">
        <v>1908</v>
      </c>
      <c r="F59" s="520" t="s">
        <v>2079</v>
      </c>
      <c r="G59" s="521" t="s">
        <v>4368</v>
      </c>
      <c r="H59" s="520"/>
      <c r="I59" s="521"/>
      <c r="J59" s="520"/>
      <c r="AW59" s="1395" t="s">
        <v>2628</v>
      </c>
      <c r="AX59" s="1395" t="s">
        <v>1976</v>
      </c>
      <c r="AY59" s="1396" t="s">
        <v>1980</v>
      </c>
      <c r="AZ59" s="1395">
        <v>239</v>
      </c>
      <c r="BA59" s="527" t="s">
        <v>1977</v>
      </c>
      <c r="BB59" s="551">
        <v>14.000000000000002</v>
      </c>
      <c r="BC59" s="534" t="s">
        <v>2274</v>
      </c>
      <c r="BD59" s="548">
        <v>0.02</v>
      </c>
      <c r="BE59" s="548">
        <v>7.0000000000000007E-2</v>
      </c>
      <c r="BF59" s="534" t="s">
        <v>2179</v>
      </c>
      <c r="BG59" s="536"/>
      <c r="BH59" s="537">
        <f t="shared" si="31"/>
        <v>18.8</v>
      </c>
      <c r="BI59" s="537">
        <f t="shared" si="32"/>
        <v>3.5</v>
      </c>
      <c r="BJ59" s="537">
        <f t="shared" si="33"/>
        <v>26.2</v>
      </c>
      <c r="BK59" s="537">
        <f t="shared" si="34"/>
        <v>3.5</v>
      </c>
      <c r="BL59" s="537">
        <f t="shared" si="35"/>
        <v>9.5</v>
      </c>
      <c r="BM59" s="537">
        <f t="shared" si="36"/>
        <v>5.6</v>
      </c>
      <c r="BN59" s="537">
        <f t="shared" si="37"/>
        <v>14.3</v>
      </c>
      <c r="BO59" s="537">
        <f t="shared" si="38"/>
        <v>18.600000000000009</v>
      </c>
      <c r="BP59" s="537">
        <f t="shared" si="18"/>
        <v>100</v>
      </c>
      <c r="BQ59" s="534" t="s">
        <v>1979</v>
      </c>
      <c r="BR59" s="556">
        <v>8.8539999999999994E-2</v>
      </c>
      <c r="BS59" s="556">
        <v>8.8539999999999994E-2</v>
      </c>
      <c r="BT59" s="556">
        <v>1.719E-2</v>
      </c>
      <c r="BU59" s="556">
        <v>7.3859999999999995E-2</v>
      </c>
      <c r="BV59" s="556">
        <v>4.929E-2</v>
      </c>
      <c r="BW59" s="557" t="s">
        <v>2275</v>
      </c>
      <c r="BX59" s="534" t="s">
        <v>2276</v>
      </c>
      <c r="DH59" s="539" t="str">
        <f t="shared" si="28"/>
        <v>Macao (China)</v>
      </c>
      <c r="DI59" s="539" t="str">
        <f t="shared" si="29"/>
        <v>Asia</v>
      </c>
      <c r="DJ59" s="539" t="str">
        <f t="shared" si="30"/>
        <v>Eastern Asia</v>
      </c>
      <c r="DK59" s="539" t="e">
        <f>VLOOKUP(DH59,#REF!,1)</f>
        <v>#REF!</v>
      </c>
      <c r="DL59" s="539" t="e">
        <f>VLOOKUP(DK59,#REF!,2,FALSE)</f>
        <v>#REF!</v>
      </c>
      <c r="DN59" s="539" t="s">
        <v>2313</v>
      </c>
      <c r="DO59" s="539" t="s">
        <v>2314</v>
      </c>
    </row>
    <row r="60" spans="3:119" ht="25.5">
      <c r="C60" s="463" t="s">
        <v>2312</v>
      </c>
      <c r="D60" s="519"/>
      <c r="E60" s="731">
        <v>1748</v>
      </c>
      <c r="F60" s="520" t="s">
        <v>2079</v>
      </c>
      <c r="G60" s="521" t="s">
        <v>4368</v>
      </c>
      <c r="H60" s="520"/>
      <c r="I60" s="521"/>
      <c r="J60" s="520"/>
      <c r="AW60" s="1395" t="s">
        <v>2676</v>
      </c>
      <c r="AX60" s="1395" t="s">
        <v>1976</v>
      </c>
      <c r="AY60" s="1396" t="s">
        <v>1980</v>
      </c>
      <c r="AZ60" s="1395">
        <v>1049</v>
      </c>
      <c r="BA60" s="527" t="s">
        <v>1977</v>
      </c>
      <c r="BB60" s="535">
        <v>13.490630673342661</v>
      </c>
      <c r="BC60" s="534" t="s">
        <v>2223</v>
      </c>
      <c r="BD60" s="536"/>
      <c r="BE60" s="536"/>
      <c r="BF60" s="534"/>
      <c r="BG60" s="536"/>
      <c r="BH60" s="537">
        <f t="shared" si="31"/>
        <v>18.8</v>
      </c>
      <c r="BI60" s="537">
        <f t="shared" si="32"/>
        <v>3.5</v>
      </c>
      <c r="BJ60" s="537">
        <f t="shared" si="33"/>
        <v>26.2</v>
      </c>
      <c r="BK60" s="537">
        <f t="shared" si="34"/>
        <v>3.5</v>
      </c>
      <c r="BL60" s="537">
        <f t="shared" si="35"/>
        <v>9.5</v>
      </c>
      <c r="BM60" s="537">
        <f t="shared" si="36"/>
        <v>5.6</v>
      </c>
      <c r="BN60" s="537">
        <f t="shared" si="37"/>
        <v>14.3</v>
      </c>
      <c r="BO60" s="537">
        <f t="shared" si="38"/>
        <v>18.600000000000009</v>
      </c>
      <c r="BP60" s="537">
        <f t="shared" si="18"/>
        <v>100</v>
      </c>
      <c r="BQ60" s="534" t="s">
        <v>1979</v>
      </c>
      <c r="BR60" s="556">
        <v>8.8539999999999994E-2</v>
      </c>
      <c r="BS60" s="556">
        <v>8.8539999999999994E-2</v>
      </c>
      <c r="BT60" s="556">
        <v>1.719E-2</v>
      </c>
      <c r="BU60" s="556">
        <v>7.3859999999999995E-2</v>
      </c>
      <c r="BV60" s="556">
        <v>4.929E-2</v>
      </c>
      <c r="BW60" s="557" t="s">
        <v>2275</v>
      </c>
      <c r="BX60" s="534" t="s">
        <v>2276</v>
      </c>
      <c r="DH60" s="539" t="str">
        <f t="shared" si="28"/>
        <v>Mongolia</v>
      </c>
      <c r="DI60" s="539" t="str">
        <f t="shared" si="29"/>
        <v>Asia</v>
      </c>
      <c r="DJ60" s="539" t="str">
        <f t="shared" si="30"/>
        <v>Eastern Asia</v>
      </c>
      <c r="DL60" s="539" t="s">
        <v>35</v>
      </c>
      <c r="DN60" s="539" t="s">
        <v>2317</v>
      </c>
      <c r="DO60" s="539" t="s">
        <v>2318</v>
      </c>
    </row>
    <row r="61" spans="3:119" ht="25.5">
      <c r="C61" s="463" t="s">
        <v>2315</v>
      </c>
      <c r="D61" s="519"/>
      <c r="E61" s="731">
        <v>1672</v>
      </c>
      <c r="F61" s="520" t="s">
        <v>2079</v>
      </c>
      <c r="G61" s="521" t="s">
        <v>4368</v>
      </c>
      <c r="H61" s="520"/>
      <c r="I61" s="521"/>
      <c r="J61" s="520"/>
      <c r="AW61" s="1395" t="s">
        <v>2734</v>
      </c>
      <c r="AX61" s="1395" t="s">
        <v>1976</v>
      </c>
      <c r="AY61" s="1396" t="s">
        <v>1980</v>
      </c>
      <c r="AZ61" s="1395">
        <v>365</v>
      </c>
      <c r="BA61" s="527" t="s">
        <v>1977</v>
      </c>
      <c r="BB61" s="535">
        <v>13.490630673342661</v>
      </c>
      <c r="BC61" s="534" t="s">
        <v>2223</v>
      </c>
      <c r="BD61" s="536"/>
      <c r="BE61" s="536"/>
      <c r="BF61" s="534"/>
      <c r="BG61" s="536"/>
      <c r="BH61" s="537">
        <f t="shared" si="31"/>
        <v>18.8</v>
      </c>
      <c r="BI61" s="537">
        <f t="shared" si="32"/>
        <v>3.5</v>
      </c>
      <c r="BJ61" s="537">
        <f t="shared" si="33"/>
        <v>26.2</v>
      </c>
      <c r="BK61" s="537">
        <f t="shared" si="34"/>
        <v>3.5</v>
      </c>
      <c r="BL61" s="537">
        <f t="shared" si="35"/>
        <v>9.5</v>
      </c>
      <c r="BM61" s="537">
        <f t="shared" si="36"/>
        <v>5.6</v>
      </c>
      <c r="BN61" s="537">
        <f t="shared" si="37"/>
        <v>14.3</v>
      </c>
      <c r="BO61" s="537">
        <f t="shared" si="38"/>
        <v>18.600000000000009</v>
      </c>
      <c r="BP61" s="537">
        <f t="shared" si="18"/>
        <v>100</v>
      </c>
      <c r="BQ61" s="534" t="s">
        <v>1979</v>
      </c>
      <c r="BR61" s="556">
        <v>8.8539999999999994E-2</v>
      </c>
      <c r="BS61" s="556">
        <v>8.8539999999999994E-2</v>
      </c>
      <c r="BT61" s="556">
        <v>1.719E-2</v>
      </c>
      <c r="BU61" s="556">
        <v>7.3859999999999995E-2</v>
      </c>
      <c r="BV61" s="556">
        <v>4.929E-2</v>
      </c>
      <c r="BW61" s="557" t="s">
        <v>2275</v>
      </c>
      <c r="BX61" s="534" t="s">
        <v>2276</v>
      </c>
      <c r="DH61" s="539" t="str">
        <f t="shared" si="28"/>
        <v>Taiwan</v>
      </c>
      <c r="DI61" s="539" t="str">
        <f t="shared" si="29"/>
        <v>Asia</v>
      </c>
      <c r="DJ61" s="539" t="str">
        <f t="shared" si="30"/>
        <v>Eastern Asia</v>
      </c>
      <c r="DL61" s="539" t="s">
        <v>35</v>
      </c>
      <c r="DN61" s="539" t="s">
        <v>2321</v>
      </c>
      <c r="DO61" s="539" t="s">
        <v>2322</v>
      </c>
    </row>
    <row r="62" spans="3:119" ht="25.5">
      <c r="C62" s="463" t="s">
        <v>2319</v>
      </c>
      <c r="D62" s="519"/>
      <c r="E62" s="731">
        <v>1965</v>
      </c>
      <c r="F62" s="520" t="s">
        <v>2079</v>
      </c>
      <c r="G62" s="521" t="s">
        <v>4368</v>
      </c>
      <c r="H62" s="520"/>
      <c r="I62" s="521"/>
      <c r="J62" s="520"/>
      <c r="AW62" s="1395" t="s">
        <v>2254</v>
      </c>
      <c r="AX62" s="1395" t="s">
        <v>2005</v>
      </c>
      <c r="AY62" s="1396" t="s">
        <v>2116</v>
      </c>
      <c r="AZ62" s="1395"/>
      <c r="BA62" s="527" t="s">
        <v>2178</v>
      </c>
      <c r="BB62" s="535">
        <v>9.3894684857089938</v>
      </c>
      <c r="BC62" s="534" t="s">
        <v>2087</v>
      </c>
      <c r="BD62" s="536"/>
      <c r="BE62" s="536"/>
      <c r="BF62" s="534"/>
      <c r="BG62" s="536"/>
      <c r="BH62" s="537">
        <f t="shared" si="31"/>
        <v>21.8</v>
      </c>
      <c r="BI62" s="537">
        <f t="shared" si="32"/>
        <v>4.7</v>
      </c>
      <c r="BJ62" s="537">
        <f t="shared" si="33"/>
        <v>30.1</v>
      </c>
      <c r="BK62" s="537">
        <f t="shared" si="34"/>
        <v>7.5</v>
      </c>
      <c r="BL62" s="537">
        <f t="shared" si="35"/>
        <v>9.5</v>
      </c>
      <c r="BM62" s="537">
        <f t="shared" si="36"/>
        <v>5.6</v>
      </c>
      <c r="BN62" s="537">
        <f t="shared" si="37"/>
        <v>6.2</v>
      </c>
      <c r="BO62" s="537">
        <f t="shared" si="38"/>
        <v>14.600000000000009</v>
      </c>
      <c r="BP62" s="537">
        <f t="shared" si="18"/>
        <v>100</v>
      </c>
      <c r="BQ62" s="534" t="s">
        <v>1979</v>
      </c>
      <c r="BR62" s="556">
        <v>8.8539999999999994E-2</v>
      </c>
      <c r="BS62" s="556">
        <v>8.8539999999999994E-2</v>
      </c>
      <c r="BT62" s="556">
        <v>1.719E-2</v>
      </c>
      <c r="BU62" s="556">
        <v>7.3859999999999995E-2</v>
      </c>
      <c r="BV62" s="556">
        <v>4.929E-2</v>
      </c>
      <c r="BW62" s="557" t="s">
        <v>2275</v>
      </c>
      <c r="BX62" s="534" t="s">
        <v>2276</v>
      </c>
      <c r="DH62" s="539" t="str">
        <f t="shared" si="28"/>
        <v>Bulgaria</v>
      </c>
      <c r="DI62" s="539" t="str">
        <f t="shared" si="29"/>
        <v>Europe</v>
      </c>
      <c r="DJ62" s="539" t="str">
        <f t="shared" si="30"/>
        <v>Eastern Europe</v>
      </c>
      <c r="DL62" s="539" t="s">
        <v>35</v>
      </c>
      <c r="DN62" s="539" t="s">
        <v>2325</v>
      </c>
      <c r="DO62" s="539" t="s">
        <v>2326</v>
      </c>
    </row>
    <row r="63" spans="3:119" ht="25.5">
      <c r="C63" s="463" t="s">
        <v>2323</v>
      </c>
      <c r="D63" s="519"/>
      <c r="E63" s="731">
        <v>3856</v>
      </c>
      <c r="F63" s="520" t="s">
        <v>2079</v>
      </c>
      <c r="G63" s="521" t="s">
        <v>4368</v>
      </c>
      <c r="H63" s="520"/>
      <c r="I63" s="521"/>
      <c r="J63" s="520"/>
      <c r="AW63" s="1395" t="s">
        <v>2391</v>
      </c>
      <c r="AX63" s="1395" t="s">
        <v>2005</v>
      </c>
      <c r="AY63" s="1396" t="s">
        <v>2116</v>
      </c>
      <c r="AZ63" s="1395">
        <v>512.70000000000005</v>
      </c>
      <c r="BA63" s="527" t="s">
        <v>2178</v>
      </c>
      <c r="BB63" s="535">
        <v>11.740747004194485</v>
      </c>
      <c r="BC63" s="534" t="s">
        <v>2263</v>
      </c>
      <c r="BD63" s="536"/>
      <c r="BE63" s="536"/>
      <c r="BF63" s="534"/>
      <c r="BG63" s="536"/>
      <c r="BH63" s="537">
        <f t="shared" si="31"/>
        <v>21.8</v>
      </c>
      <c r="BI63" s="537">
        <f t="shared" si="32"/>
        <v>4.7</v>
      </c>
      <c r="BJ63" s="537">
        <f t="shared" si="33"/>
        <v>30.1</v>
      </c>
      <c r="BK63" s="537">
        <f t="shared" si="34"/>
        <v>7.5</v>
      </c>
      <c r="BL63" s="537">
        <f t="shared" si="35"/>
        <v>9.5</v>
      </c>
      <c r="BM63" s="537">
        <f t="shared" si="36"/>
        <v>5.6</v>
      </c>
      <c r="BN63" s="537">
        <f t="shared" si="37"/>
        <v>6.2</v>
      </c>
      <c r="BO63" s="537">
        <f t="shared" si="38"/>
        <v>14.600000000000009</v>
      </c>
      <c r="BP63" s="537">
        <f t="shared" si="18"/>
        <v>100</v>
      </c>
      <c r="BQ63" s="534" t="s">
        <v>1979</v>
      </c>
      <c r="BR63" s="556">
        <v>8.8539999999999994E-2</v>
      </c>
      <c r="BS63" s="556">
        <v>8.8539999999999994E-2</v>
      </c>
      <c r="BT63" s="556">
        <v>1.719E-2</v>
      </c>
      <c r="BU63" s="556">
        <v>7.3859999999999995E-2</v>
      </c>
      <c r="BV63" s="556">
        <v>4.929E-2</v>
      </c>
      <c r="BW63" s="557" t="s">
        <v>2275</v>
      </c>
      <c r="BX63" s="534" t="s">
        <v>2276</v>
      </c>
      <c r="DH63" s="539" t="str">
        <f t="shared" si="28"/>
        <v>Czechia</v>
      </c>
      <c r="DI63" s="539" t="str">
        <f t="shared" si="29"/>
        <v>Europe</v>
      </c>
      <c r="DJ63" s="539" t="str">
        <f t="shared" si="30"/>
        <v>Eastern Europe</v>
      </c>
      <c r="DL63" s="539" t="s">
        <v>35</v>
      </c>
      <c r="DN63" s="539" t="s">
        <v>2329</v>
      </c>
      <c r="DO63" s="539" t="s">
        <v>2330</v>
      </c>
    </row>
    <row r="64" spans="3:119" ht="25.5">
      <c r="C64" s="463" t="s">
        <v>2327</v>
      </c>
      <c r="D64" s="519"/>
      <c r="E64" s="731">
        <v>1670</v>
      </c>
      <c r="F64" s="520" t="s">
        <v>2079</v>
      </c>
      <c r="G64" s="521" t="s">
        <v>4368</v>
      </c>
      <c r="H64" s="520"/>
      <c r="I64" s="521"/>
      <c r="J64" s="520"/>
      <c r="AW64" s="1395" t="s">
        <v>2527</v>
      </c>
      <c r="AX64" s="1395" t="s">
        <v>2005</v>
      </c>
      <c r="AY64" s="1396" t="s">
        <v>2116</v>
      </c>
      <c r="AZ64" s="1395">
        <v>260.39999999999998</v>
      </c>
      <c r="BA64" s="527" t="s">
        <v>2178</v>
      </c>
      <c r="BB64" s="535">
        <v>11.740747004194485</v>
      </c>
      <c r="BC64" s="534" t="s">
        <v>2263</v>
      </c>
      <c r="BD64" s="536"/>
      <c r="BE64" s="536"/>
      <c r="BF64" s="534"/>
      <c r="BG64" s="536"/>
      <c r="BH64" s="537">
        <f t="shared" si="31"/>
        <v>21.8</v>
      </c>
      <c r="BI64" s="537">
        <f t="shared" si="32"/>
        <v>4.7</v>
      </c>
      <c r="BJ64" s="537">
        <f t="shared" si="33"/>
        <v>30.1</v>
      </c>
      <c r="BK64" s="537">
        <f t="shared" si="34"/>
        <v>7.5</v>
      </c>
      <c r="BL64" s="537">
        <f t="shared" si="35"/>
        <v>9.5</v>
      </c>
      <c r="BM64" s="537">
        <f t="shared" si="36"/>
        <v>5.6</v>
      </c>
      <c r="BN64" s="537">
        <f t="shared" si="37"/>
        <v>6.2</v>
      </c>
      <c r="BO64" s="537">
        <f t="shared" si="38"/>
        <v>14.600000000000009</v>
      </c>
      <c r="BP64" s="537">
        <f t="shared" si="18"/>
        <v>100</v>
      </c>
      <c r="BQ64" s="534" t="s">
        <v>1979</v>
      </c>
      <c r="BR64" s="556">
        <v>8.8539999999999994E-2</v>
      </c>
      <c r="BS64" s="556">
        <v>8.8539999999999994E-2</v>
      </c>
      <c r="BT64" s="556">
        <v>1.719E-2</v>
      </c>
      <c r="BU64" s="556">
        <v>7.3859999999999995E-2</v>
      </c>
      <c r="BV64" s="556">
        <v>4.929E-2</v>
      </c>
      <c r="BW64" s="557" t="s">
        <v>2275</v>
      </c>
      <c r="BX64" s="534" t="s">
        <v>2276</v>
      </c>
      <c r="DH64" s="539" t="str">
        <f t="shared" si="28"/>
        <v>Hungary</v>
      </c>
      <c r="DI64" s="539" t="str">
        <f t="shared" si="29"/>
        <v>Europe</v>
      </c>
      <c r="DJ64" s="539" t="str">
        <f t="shared" si="30"/>
        <v>Eastern Europe</v>
      </c>
      <c r="DL64" s="539" t="s">
        <v>35</v>
      </c>
      <c r="DN64" s="539" t="s">
        <v>2333</v>
      </c>
      <c r="DO64" s="539" t="s">
        <v>2334</v>
      </c>
    </row>
    <row r="65" spans="3:119" ht="25.5">
      <c r="C65" s="463" t="s">
        <v>2331</v>
      </c>
      <c r="D65" s="519"/>
      <c r="E65" s="731">
        <v>0</v>
      </c>
      <c r="F65" s="520" t="s">
        <v>2079</v>
      </c>
      <c r="G65" s="521" t="s">
        <v>4368</v>
      </c>
      <c r="H65" s="520"/>
      <c r="I65" s="521"/>
      <c r="J65" s="520"/>
      <c r="AW65" s="1395" t="s">
        <v>2592</v>
      </c>
      <c r="AX65" s="1395" t="s">
        <v>2005</v>
      </c>
      <c r="AY65" s="1396" t="s">
        <v>2116</v>
      </c>
      <c r="AZ65" s="1395">
        <v>832</v>
      </c>
      <c r="BA65" s="527" t="s">
        <v>1977</v>
      </c>
      <c r="BB65" s="535">
        <v>6.2171813834411278</v>
      </c>
      <c r="BC65" s="534" t="s">
        <v>2062</v>
      </c>
      <c r="BD65" s="536"/>
      <c r="BE65" s="536"/>
      <c r="BF65" s="534"/>
      <c r="BG65" s="536"/>
      <c r="BH65" s="537">
        <f t="shared" si="31"/>
        <v>21.8</v>
      </c>
      <c r="BI65" s="537">
        <f t="shared" si="32"/>
        <v>4.7</v>
      </c>
      <c r="BJ65" s="537">
        <f t="shared" si="33"/>
        <v>30.1</v>
      </c>
      <c r="BK65" s="537">
        <f t="shared" si="34"/>
        <v>7.5</v>
      </c>
      <c r="BL65" s="537">
        <f t="shared" si="35"/>
        <v>9.5</v>
      </c>
      <c r="BM65" s="537">
        <f t="shared" si="36"/>
        <v>5.6</v>
      </c>
      <c r="BN65" s="537">
        <f t="shared" si="37"/>
        <v>6.2</v>
      </c>
      <c r="BO65" s="537">
        <f t="shared" si="38"/>
        <v>14.600000000000009</v>
      </c>
      <c r="BP65" s="537">
        <f t="shared" si="18"/>
        <v>100</v>
      </c>
      <c r="BQ65" s="534" t="s">
        <v>1979</v>
      </c>
      <c r="BR65" s="556">
        <v>8.8539999999999994E-2</v>
      </c>
      <c r="BS65" s="556">
        <v>8.8539999999999994E-2</v>
      </c>
      <c r="BT65" s="556">
        <v>1.719E-2</v>
      </c>
      <c r="BU65" s="556">
        <v>7.3859999999999995E-2</v>
      </c>
      <c r="BV65" s="556">
        <v>4.929E-2</v>
      </c>
      <c r="BW65" s="557" t="s">
        <v>2275</v>
      </c>
      <c r="BX65" s="534" t="s">
        <v>2276</v>
      </c>
      <c r="DH65" s="539" t="str">
        <f t="shared" si="28"/>
        <v>Kosovo</v>
      </c>
      <c r="DI65" s="539" t="str">
        <f t="shared" si="29"/>
        <v>Europe</v>
      </c>
      <c r="DJ65" s="539" t="str">
        <f t="shared" si="30"/>
        <v>Eastern Europe</v>
      </c>
      <c r="DL65" s="539" t="s">
        <v>35</v>
      </c>
      <c r="DN65" s="539" t="s">
        <v>2337</v>
      </c>
      <c r="DO65" s="539" t="s">
        <v>2338</v>
      </c>
    </row>
    <row r="66" spans="3:119">
      <c r="C66" s="463" t="s">
        <v>2335</v>
      </c>
      <c r="D66" s="519"/>
      <c r="E66" s="731">
        <v>2256</v>
      </c>
      <c r="F66" s="520" t="s">
        <v>2079</v>
      </c>
      <c r="G66" s="521" t="s">
        <v>4368</v>
      </c>
      <c r="H66" s="520"/>
      <c r="I66" s="521"/>
      <c r="J66" s="520"/>
      <c r="AW66" s="1395" t="s">
        <v>2674</v>
      </c>
      <c r="AX66" s="1395" t="s">
        <v>2005</v>
      </c>
      <c r="AY66" s="1396" t="s">
        <v>2116</v>
      </c>
      <c r="AZ66" s="1395">
        <v>436</v>
      </c>
      <c r="BA66" s="527" t="s">
        <v>1977</v>
      </c>
      <c r="BB66" s="535">
        <v>6.7350417796160187</v>
      </c>
      <c r="BC66" s="534" t="s">
        <v>2006</v>
      </c>
      <c r="BD66" s="536"/>
      <c r="BE66" s="536"/>
      <c r="BF66" s="534"/>
      <c r="BG66" s="536"/>
      <c r="BH66" s="537">
        <f t="shared" si="31"/>
        <v>21.8</v>
      </c>
      <c r="BI66" s="537">
        <f t="shared" si="32"/>
        <v>4.7</v>
      </c>
      <c r="BJ66" s="537">
        <f t="shared" si="33"/>
        <v>30.1</v>
      </c>
      <c r="BK66" s="537">
        <f t="shared" si="34"/>
        <v>7.5</v>
      </c>
      <c r="BL66" s="537">
        <f t="shared" si="35"/>
        <v>9.5</v>
      </c>
      <c r="BM66" s="537">
        <f t="shared" si="36"/>
        <v>5.6</v>
      </c>
      <c r="BN66" s="537">
        <f t="shared" si="37"/>
        <v>6.2</v>
      </c>
      <c r="BO66" s="537">
        <f t="shared" si="38"/>
        <v>14.600000000000009</v>
      </c>
      <c r="BP66" s="537">
        <f t="shared" si="18"/>
        <v>100</v>
      </c>
      <c r="BQ66" s="534" t="s">
        <v>1979</v>
      </c>
      <c r="BR66" s="556">
        <v>8.8539999999999994E-2</v>
      </c>
      <c r="BS66" s="556">
        <v>8.8539999999999994E-2</v>
      </c>
      <c r="BT66" s="556">
        <v>1.719E-2</v>
      </c>
      <c r="BU66" s="556">
        <v>7.3859999999999995E-2</v>
      </c>
      <c r="BV66" s="556">
        <v>4.929E-2</v>
      </c>
      <c r="BW66" s="557" t="s">
        <v>2275</v>
      </c>
      <c r="BX66" s="534" t="s">
        <v>2276</v>
      </c>
      <c r="DH66" s="539" t="str">
        <f t="shared" si="28"/>
        <v>Moldova</v>
      </c>
      <c r="DI66" s="539" t="str">
        <f t="shared" si="29"/>
        <v>Europe</v>
      </c>
      <c r="DJ66" s="539" t="str">
        <f t="shared" si="30"/>
        <v>Eastern Europe</v>
      </c>
      <c r="DL66" s="539" t="s">
        <v>35</v>
      </c>
      <c r="DN66" s="539" t="s">
        <v>2341</v>
      </c>
      <c r="DO66" s="539" t="s">
        <v>2342</v>
      </c>
    </row>
    <row r="67" spans="3:119">
      <c r="C67" s="463" t="s">
        <v>2339</v>
      </c>
      <c r="D67" s="519"/>
      <c r="E67" s="731">
        <v>2404</v>
      </c>
      <c r="F67" s="520" t="s">
        <v>2079</v>
      </c>
      <c r="G67" s="521" t="s">
        <v>4368</v>
      </c>
      <c r="H67" s="520"/>
      <c r="I67" s="521"/>
      <c r="J67" s="520"/>
      <c r="AW67" s="1395" t="s">
        <v>2701</v>
      </c>
      <c r="AX67" s="1395" t="s">
        <v>2005</v>
      </c>
      <c r="AY67" s="1396" t="s">
        <v>2116</v>
      </c>
      <c r="AZ67" s="1395">
        <v>773.3</v>
      </c>
      <c r="BA67" s="527" t="s">
        <v>2178</v>
      </c>
      <c r="BB67" s="551">
        <v>5.4712663559690737</v>
      </c>
      <c r="BC67" s="534" t="s">
        <v>2006</v>
      </c>
      <c r="BD67" s="536"/>
      <c r="BE67" s="548">
        <v>0.04</v>
      </c>
      <c r="BF67" s="534" t="s">
        <v>2345</v>
      </c>
      <c r="BG67" s="536"/>
      <c r="BH67" s="537">
        <f t="shared" si="31"/>
        <v>21.8</v>
      </c>
      <c r="BI67" s="537">
        <f t="shared" si="32"/>
        <v>4.7</v>
      </c>
      <c r="BJ67" s="537">
        <f t="shared" si="33"/>
        <v>30.1</v>
      </c>
      <c r="BK67" s="537">
        <f t="shared" si="34"/>
        <v>7.5</v>
      </c>
      <c r="BL67" s="537">
        <f t="shared" si="35"/>
        <v>9.5</v>
      </c>
      <c r="BM67" s="537">
        <f t="shared" si="36"/>
        <v>5.6</v>
      </c>
      <c r="BN67" s="537">
        <f t="shared" si="37"/>
        <v>6.2</v>
      </c>
      <c r="BO67" s="537">
        <f t="shared" si="38"/>
        <v>14.600000000000009</v>
      </c>
      <c r="BP67" s="537">
        <f t="shared" si="18"/>
        <v>100</v>
      </c>
      <c r="BQ67" s="534" t="s">
        <v>1979</v>
      </c>
      <c r="BR67" s="556">
        <v>8.8539999999999994E-2</v>
      </c>
      <c r="BS67" s="556">
        <v>8.8539999999999994E-2</v>
      </c>
      <c r="BT67" s="556">
        <v>1.719E-2</v>
      </c>
      <c r="BU67" s="556">
        <v>7.3859999999999995E-2</v>
      </c>
      <c r="BV67" s="556">
        <v>4.929E-2</v>
      </c>
      <c r="BW67" s="557" t="s">
        <v>2275</v>
      </c>
      <c r="BX67" s="534" t="s">
        <v>2276</v>
      </c>
      <c r="DH67" s="539" t="str">
        <f t="shared" ref="DH67:DH98" si="39">AW67</f>
        <v>Poland</v>
      </c>
      <c r="DI67" s="539" t="str">
        <f t="shared" ref="DI67:DI98" si="40">AX67</f>
        <v>Europe</v>
      </c>
      <c r="DJ67" s="539" t="str">
        <f t="shared" ref="DJ67:DJ98" si="41">AY67</f>
        <v>Eastern Europe</v>
      </c>
      <c r="DK67" s="539" t="e">
        <f>VLOOKUP(DH67,#REF!,1)</f>
        <v>#REF!</v>
      </c>
      <c r="DL67" s="539" t="e">
        <f>VLOOKUP(DK67,#REF!,2,FALSE)</f>
        <v>#REF!</v>
      </c>
      <c r="DN67" s="539" t="s">
        <v>2346</v>
      </c>
      <c r="DO67" s="539" t="s">
        <v>2347</v>
      </c>
    </row>
    <row r="68" spans="3:119">
      <c r="C68" s="463" t="s">
        <v>2343</v>
      </c>
      <c r="D68" s="519"/>
      <c r="E68" s="731">
        <v>1733</v>
      </c>
      <c r="F68" s="520" t="s">
        <v>2079</v>
      </c>
      <c r="G68" s="521" t="s">
        <v>4368</v>
      </c>
      <c r="H68" s="520"/>
      <c r="I68" s="521"/>
      <c r="J68" s="520"/>
      <c r="AW68" s="1395" t="s">
        <v>2704</v>
      </c>
      <c r="AX68" s="1395" t="s">
        <v>2005</v>
      </c>
      <c r="AY68" s="1396" t="s">
        <v>2116</v>
      </c>
      <c r="AZ68" s="1395">
        <v>306</v>
      </c>
      <c r="BA68" s="527" t="s">
        <v>2178</v>
      </c>
      <c r="BB68" s="551">
        <v>10.67878079046084</v>
      </c>
      <c r="BC68" s="534" t="s">
        <v>2006</v>
      </c>
      <c r="BD68" s="548">
        <v>0.1</v>
      </c>
      <c r="BE68" s="548">
        <v>0.1</v>
      </c>
      <c r="BF68" s="534" t="s">
        <v>2179</v>
      </c>
      <c r="BG68" s="536"/>
      <c r="BH68" s="537">
        <f t="shared" si="31"/>
        <v>21.8</v>
      </c>
      <c r="BI68" s="537">
        <f t="shared" si="32"/>
        <v>4.7</v>
      </c>
      <c r="BJ68" s="537">
        <f t="shared" si="33"/>
        <v>30.1</v>
      </c>
      <c r="BK68" s="537">
        <f t="shared" si="34"/>
        <v>7.5</v>
      </c>
      <c r="BL68" s="537">
        <f t="shared" si="35"/>
        <v>9.5</v>
      </c>
      <c r="BM68" s="537">
        <f t="shared" si="36"/>
        <v>5.6</v>
      </c>
      <c r="BN68" s="537">
        <f t="shared" si="37"/>
        <v>6.2</v>
      </c>
      <c r="BO68" s="537">
        <f t="shared" si="38"/>
        <v>14.600000000000009</v>
      </c>
      <c r="BP68" s="537">
        <f t="shared" ref="BP68:BP131" si="42">+SUM(BH68:BO68)</f>
        <v>100</v>
      </c>
      <c r="BQ68" s="534" t="s">
        <v>1979</v>
      </c>
      <c r="BR68" s="556">
        <v>8.8539999999999994E-2</v>
      </c>
      <c r="BS68" s="556">
        <v>8.8539999999999994E-2</v>
      </c>
      <c r="BT68" s="556">
        <v>1.719E-2</v>
      </c>
      <c r="BU68" s="556">
        <v>7.3859999999999995E-2</v>
      </c>
      <c r="BV68" s="556">
        <v>4.929E-2</v>
      </c>
      <c r="BW68" s="557" t="s">
        <v>2275</v>
      </c>
      <c r="BX68" s="534" t="s">
        <v>2276</v>
      </c>
      <c r="DH68" s="539" t="str">
        <f t="shared" si="39"/>
        <v>Romania</v>
      </c>
      <c r="DI68" s="539" t="str">
        <f t="shared" si="40"/>
        <v>Europe</v>
      </c>
      <c r="DJ68" s="539" t="str">
        <f t="shared" si="41"/>
        <v>Eastern Europe</v>
      </c>
      <c r="DL68" s="539" t="s">
        <v>35</v>
      </c>
      <c r="DN68" s="539" t="s">
        <v>2350</v>
      </c>
      <c r="DO68" s="539" t="s">
        <v>2351</v>
      </c>
    </row>
    <row r="69" spans="3:119" ht="25.5">
      <c r="C69" s="463" t="s">
        <v>2348</v>
      </c>
      <c r="D69" s="519"/>
      <c r="E69" s="731">
        <v>1847</v>
      </c>
      <c r="F69" s="520" t="s">
        <v>2079</v>
      </c>
      <c r="G69" s="521" t="s">
        <v>4368</v>
      </c>
      <c r="H69" s="520"/>
      <c r="I69" s="521"/>
      <c r="J69" s="520"/>
      <c r="AW69" s="1395" t="s">
        <v>62</v>
      </c>
      <c r="AX69" s="1395" t="s">
        <v>2005</v>
      </c>
      <c r="AY69" s="1396" t="s">
        <v>2116</v>
      </c>
      <c r="AZ69" s="1395">
        <v>325</v>
      </c>
      <c r="BA69" s="527" t="s">
        <v>2705</v>
      </c>
      <c r="BB69" s="535">
        <v>11.740747004194485</v>
      </c>
      <c r="BC69" s="534" t="s">
        <v>2263</v>
      </c>
      <c r="BD69" s="536"/>
      <c r="BE69" s="536"/>
      <c r="BF69" s="534"/>
      <c r="BG69" s="536"/>
      <c r="BH69" s="537">
        <f t="shared" si="31"/>
        <v>21.8</v>
      </c>
      <c r="BI69" s="537">
        <f t="shared" si="32"/>
        <v>4.7</v>
      </c>
      <c r="BJ69" s="537">
        <f t="shared" si="33"/>
        <v>30.1</v>
      </c>
      <c r="BK69" s="537">
        <f t="shared" si="34"/>
        <v>7.5</v>
      </c>
      <c r="BL69" s="537">
        <f t="shared" si="35"/>
        <v>9.5</v>
      </c>
      <c r="BM69" s="537">
        <f t="shared" si="36"/>
        <v>5.6</v>
      </c>
      <c r="BN69" s="537">
        <f t="shared" si="37"/>
        <v>6.2</v>
      </c>
      <c r="BO69" s="537">
        <f t="shared" si="38"/>
        <v>14.600000000000009</v>
      </c>
      <c r="BP69" s="537">
        <f t="shared" si="42"/>
        <v>100</v>
      </c>
      <c r="BQ69" s="534" t="s">
        <v>1979</v>
      </c>
      <c r="BR69" s="556">
        <v>8.8539999999999994E-2</v>
      </c>
      <c r="BS69" s="556">
        <v>8.8539999999999994E-2</v>
      </c>
      <c r="BT69" s="556">
        <v>1.719E-2</v>
      </c>
      <c r="BU69" s="556">
        <v>7.3859999999999995E-2</v>
      </c>
      <c r="BV69" s="556">
        <v>4.929E-2</v>
      </c>
      <c r="BW69" s="557" t="s">
        <v>2275</v>
      </c>
      <c r="BX69" s="534" t="s">
        <v>2276</v>
      </c>
      <c r="DH69" s="539" t="str">
        <f t="shared" si="39"/>
        <v>Russian Federation</v>
      </c>
      <c r="DI69" s="539" t="str">
        <f t="shared" si="40"/>
        <v>Europe</v>
      </c>
      <c r="DJ69" s="539" t="str">
        <f t="shared" si="41"/>
        <v>Eastern Europe</v>
      </c>
      <c r="DL69" s="539" t="s">
        <v>35</v>
      </c>
      <c r="DN69" s="539" t="s">
        <v>2354</v>
      </c>
      <c r="DO69" s="539" t="s">
        <v>2355</v>
      </c>
    </row>
    <row r="70" spans="3:119">
      <c r="C70" s="463" t="s">
        <v>2352</v>
      </c>
      <c r="D70" s="519"/>
      <c r="E70" s="731">
        <v>465</v>
      </c>
      <c r="F70" s="520" t="s">
        <v>2079</v>
      </c>
      <c r="G70" s="521" t="s">
        <v>4368</v>
      </c>
      <c r="H70" s="520"/>
      <c r="I70" s="521"/>
      <c r="J70" s="520"/>
      <c r="AW70" s="1395" t="s">
        <v>2723</v>
      </c>
      <c r="AX70" s="1395" t="s">
        <v>2005</v>
      </c>
      <c r="AY70" s="1396" t="s">
        <v>2116</v>
      </c>
      <c r="AZ70" s="1395">
        <v>132.30000000000001</v>
      </c>
      <c r="BA70" s="527" t="s">
        <v>2178</v>
      </c>
      <c r="BB70" s="535">
        <v>21.436651583710407</v>
      </c>
      <c r="BC70" s="534" t="s">
        <v>2006</v>
      </c>
      <c r="BD70" s="536"/>
      <c r="BE70" s="536"/>
      <c r="BF70" s="534"/>
      <c r="BG70" s="536"/>
      <c r="BH70" s="537">
        <f t="shared" si="31"/>
        <v>21.8</v>
      </c>
      <c r="BI70" s="537">
        <f t="shared" si="32"/>
        <v>4.7</v>
      </c>
      <c r="BJ70" s="537">
        <f t="shared" si="33"/>
        <v>30.1</v>
      </c>
      <c r="BK70" s="537">
        <f t="shared" si="34"/>
        <v>7.5</v>
      </c>
      <c r="BL70" s="537">
        <f t="shared" si="35"/>
        <v>9.5</v>
      </c>
      <c r="BM70" s="537">
        <f t="shared" si="36"/>
        <v>5.6</v>
      </c>
      <c r="BN70" s="537">
        <f t="shared" si="37"/>
        <v>6.2</v>
      </c>
      <c r="BO70" s="537">
        <f t="shared" si="38"/>
        <v>14.600000000000009</v>
      </c>
      <c r="BP70" s="537">
        <f t="shared" si="42"/>
        <v>100</v>
      </c>
      <c r="BQ70" s="534" t="s">
        <v>1979</v>
      </c>
      <c r="BR70" s="556">
        <v>8.8539999999999994E-2</v>
      </c>
      <c r="BS70" s="556">
        <v>8.8539999999999994E-2</v>
      </c>
      <c r="BT70" s="556">
        <v>1.719E-2</v>
      </c>
      <c r="BU70" s="556">
        <v>7.3859999999999995E-2</v>
      </c>
      <c r="BV70" s="556">
        <v>4.929E-2</v>
      </c>
      <c r="BW70" s="557" t="s">
        <v>2275</v>
      </c>
      <c r="BX70" s="534" t="s">
        <v>2276</v>
      </c>
      <c r="DH70" s="539" t="str">
        <f t="shared" si="39"/>
        <v>Slovakia</v>
      </c>
      <c r="DI70" s="539" t="str">
        <f t="shared" si="40"/>
        <v>Europe</v>
      </c>
      <c r="DJ70" s="539" t="str">
        <f t="shared" si="41"/>
        <v>Eastern Europe</v>
      </c>
      <c r="DL70" s="539" t="s">
        <v>35</v>
      </c>
      <c r="DN70" s="539" t="s">
        <v>2357</v>
      </c>
      <c r="DO70" s="539" t="s">
        <v>2358</v>
      </c>
    </row>
    <row r="71" spans="3:119">
      <c r="C71" s="463" t="s">
        <v>2365</v>
      </c>
      <c r="D71" s="519"/>
      <c r="E71" s="731">
        <v>1635</v>
      </c>
      <c r="F71" s="520" t="s">
        <v>2079</v>
      </c>
      <c r="G71" s="521" t="s">
        <v>4368</v>
      </c>
      <c r="H71" s="520"/>
      <c r="I71" s="521"/>
      <c r="J71" s="520"/>
      <c r="AW71" s="1395" t="s">
        <v>2748</v>
      </c>
      <c r="AX71" s="1395" t="s">
        <v>2005</v>
      </c>
      <c r="AY71" s="1396" t="s">
        <v>2116</v>
      </c>
      <c r="AZ71" s="1395">
        <v>525</v>
      </c>
      <c r="BA71" s="527" t="s">
        <v>1977</v>
      </c>
      <c r="BB71" s="535">
        <v>44.540229885057471</v>
      </c>
      <c r="BC71" s="534" t="s">
        <v>2006</v>
      </c>
      <c r="BD71" s="536"/>
      <c r="BE71" s="536"/>
      <c r="BF71" s="534"/>
      <c r="BG71" s="536"/>
      <c r="BH71" s="537">
        <f t="shared" si="31"/>
        <v>21.8</v>
      </c>
      <c r="BI71" s="537">
        <f t="shared" si="32"/>
        <v>4.7</v>
      </c>
      <c r="BJ71" s="537">
        <f t="shared" si="33"/>
        <v>30.1</v>
      </c>
      <c r="BK71" s="537">
        <f t="shared" si="34"/>
        <v>7.5</v>
      </c>
      <c r="BL71" s="537">
        <f t="shared" si="35"/>
        <v>9.5</v>
      </c>
      <c r="BM71" s="537">
        <f t="shared" si="36"/>
        <v>5.6</v>
      </c>
      <c r="BN71" s="537">
        <f t="shared" si="37"/>
        <v>6.2</v>
      </c>
      <c r="BO71" s="537">
        <f t="shared" si="38"/>
        <v>14.600000000000009</v>
      </c>
      <c r="BP71" s="537">
        <f t="shared" si="42"/>
        <v>100</v>
      </c>
      <c r="BQ71" s="534" t="s">
        <v>1979</v>
      </c>
      <c r="BR71" s="556">
        <v>8.8539999999999994E-2</v>
      </c>
      <c r="BS71" s="556">
        <v>8.8539999999999994E-2</v>
      </c>
      <c r="BT71" s="556">
        <v>1.719E-2</v>
      </c>
      <c r="BU71" s="556">
        <v>7.3859999999999995E-2</v>
      </c>
      <c r="BV71" s="556">
        <v>4.929E-2</v>
      </c>
      <c r="BW71" s="557" t="s">
        <v>2275</v>
      </c>
      <c r="BX71" s="534" t="s">
        <v>2276</v>
      </c>
      <c r="DH71" s="539" t="str">
        <f t="shared" si="39"/>
        <v>Ukraine</v>
      </c>
      <c r="DI71" s="539" t="str">
        <f t="shared" si="40"/>
        <v>Europe</v>
      </c>
      <c r="DJ71" s="539" t="str">
        <f t="shared" si="41"/>
        <v>Eastern Europe</v>
      </c>
      <c r="DL71" s="539" t="s">
        <v>35</v>
      </c>
      <c r="DN71" s="539" t="s">
        <v>2360</v>
      </c>
      <c r="DO71" s="539" t="s">
        <v>2361</v>
      </c>
    </row>
    <row r="72" spans="3:119" ht="25.5">
      <c r="C72" s="463" t="s">
        <v>2370</v>
      </c>
      <c r="D72" s="519"/>
      <c r="E72" s="731">
        <v>605</v>
      </c>
      <c r="F72" s="520" t="s">
        <v>2079</v>
      </c>
      <c r="G72" s="521" t="s">
        <v>4368</v>
      </c>
      <c r="H72" s="520"/>
      <c r="I72" s="521"/>
      <c r="J72" s="520"/>
      <c r="AW72" s="1395" t="s">
        <v>2270</v>
      </c>
      <c r="AX72" s="1395" t="s">
        <v>2032</v>
      </c>
      <c r="AY72" s="1396" t="s">
        <v>2075</v>
      </c>
      <c r="AZ72" s="1395">
        <v>275</v>
      </c>
      <c r="BA72" s="527" t="s">
        <v>1977</v>
      </c>
      <c r="BB72" s="535">
        <v>5.4123414965002699</v>
      </c>
      <c r="BC72" s="534" t="s">
        <v>2049</v>
      </c>
      <c r="BD72" s="536"/>
      <c r="BE72" s="536"/>
      <c r="BF72" s="534"/>
      <c r="BG72" s="536"/>
      <c r="BH72" s="537">
        <f t="shared" si="31"/>
        <v>16.8</v>
      </c>
      <c r="BI72" s="537">
        <f t="shared" si="32"/>
        <v>2.5</v>
      </c>
      <c r="BJ72" s="537">
        <f t="shared" si="33"/>
        <v>43.4</v>
      </c>
      <c r="BK72" s="537">
        <f t="shared" si="34"/>
        <v>6.5</v>
      </c>
      <c r="BL72" s="537">
        <f t="shared" si="35"/>
        <v>9.5</v>
      </c>
      <c r="BM72" s="537">
        <f t="shared" si="36"/>
        <v>5.6</v>
      </c>
      <c r="BN72" s="537">
        <f t="shared" si="37"/>
        <v>4.5</v>
      </c>
      <c r="BO72" s="537">
        <f t="shared" si="38"/>
        <v>11.200000000000003</v>
      </c>
      <c r="BP72" s="537">
        <f t="shared" si="42"/>
        <v>100</v>
      </c>
      <c r="BQ72" s="534" t="s">
        <v>1979</v>
      </c>
      <c r="BR72" s="556">
        <v>8.8539999999999994E-2</v>
      </c>
      <c r="BS72" s="556">
        <v>8.8539999999999994E-2</v>
      </c>
      <c r="BT72" s="556">
        <v>1.719E-2</v>
      </c>
      <c r="BU72" s="556">
        <v>7.3859999999999995E-2</v>
      </c>
      <c r="BV72" s="556">
        <v>4.929E-2</v>
      </c>
      <c r="BW72" s="557" t="s">
        <v>2275</v>
      </c>
      <c r="BX72" s="534" t="s">
        <v>2276</v>
      </c>
      <c r="DH72" s="539" t="str">
        <f t="shared" si="39"/>
        <v>Cameroon</v>
      </c>
      <c r="DI72" s="539" t="str">
        <f t="shared" si="40"/>
        <v>Africa</v>
      </c>
      <c r="DJ72" s="539" t="str">
        <f t="shared" si="41"/>
        <v>Middle Africa</v>
      </c>
      <c r="DL72" s="539" t="s">
        <v>35</v>
      </c>
      <c r="DN72" s="539" t="s">
        <v>2363</v>
      </c>
      <c r="DO72" s="539" t="s">
        <v>2364</v>
      </c>
    </row>
    <row r="73" spans="3:119">
      <c r="C73" s="463" t="s">
        <v>2374</v>
      </c>
      <c r="D73" s="519"/>
      <c r="E73" s="731">
        <v>903</v>
      </c>
      <c r="F73" s="520" t="s">
        <v>2079</v>
      </c>
      <c r="G73" s="521" t="s">
        <v>4368</v>
      </c>
      <c r="H73" s="520"/>
      <c r="I73" s="521"/>
      <c r="J73" s="520"/>
      <c r="AW73" s="1395" t="s">
        <v>2328</v>
      </c>
      <c r="AX73" s="1395" t="s">
        <v>2032</v>
      </c>
      <c r="AY73" s="1396" t="s">
        <v>2075</v>
      </c>
      <c r="AZ73" s="1395">
        <v>224</v>
      </c>
      <c r="BA73" s="527" t="s">
        <v>1977</v>
      </c>
      <c r="BB73" s="551">
        <v>10.82509542918665</v>
      </c>
      <c r="BC73" s="534" t="s">
        <v>2006</v>
      </c>
      <c r="BD73" s="536"/>
      <c r="BE73" s="536"/>
      <c r="BF73" s="534"/>
      <c r="BG73" s="536"/>
      <c r="BH73" s="517">
        <v>14</v>
      </c>
      <c r="BI73" s="517">
        <v>3</v>
      </c>
      <c r="BJ73" s="517">
        <v>40</v>
      </c>
      <c r="BK73" s="517">
        <v>2</v>
      </c>
      <c r="BL73" s="517">
        <v>4</v>
      </c>
      <c r="BM73" s="517">
        <v>8</v>
      </c>
      <c r="BN73" s="517">
        <v>29</v>
      </c>
      <c r="BO73" s="517">
        <f>100-SUM(BH73:BN73)</f>
        <v>0</v>
      </c>
      <c r="BP73" s="537">
        <f t="shared" si="42"/>
        <v>100</v>
      </c>
      <c r="BQ73" s="527" t="s">
        <v>2367</v>
      </c>
      <c r="BR73" s="556">
        <v>8.8539999999999994E-2</v>
      </c>
      <c r="BS73" s="556">
        <v>8.8539999999999994E-2</v>
      </c>
      <c r="BT73" s="556">
        <v>1.719E-2</v>
      </c>
      <c r="BU73" s="556">
        <v>7.3859999999999995E-2</v>
      </c>
      <c r="BV73" s="556">
        <v>4.929E-2</v>
      </c>
      <c r="BW73" s="557" t="s">
        <v>2275</v>
      </c>
      <c r="BX73" s="534" t="s">
        <v>2276</v>
      </c>
      <c r="DH73" s="539" t="str">
        <f t="shared" si="39"/>
        <v>Central African Republic</v>
      </c>
      <c r="DI73" s="539" t="str">
        <f t="shared" si="40"/>
        <v>Africa</v>
      </c>
      <c r="DJ73" s="539" t="str">
        <f t="shared" si="41"/>
        <v>Middle Africa</v>
      </c>
      <c r="DL73" s="539" t="s">
        <v>35</v>
      </c>
      <c r="DN73" s="539" t="s">
        <v>2368</v>
      </c>
      <c r="DO73" s="539" t="s">
        <v>2369</v>
      </c>
    </row>
    <row r="74" spans="3:119">
      <c r="C74" s="463" t="s">
        <v>2378</v>
      </c>
      <c r="D74" s="519"/>
      <c r="E74" s="731">
        <v>2508</v>
      </c>
      <c r="F74" s="520" t="s">
        <v>2079</v>
      </c>
      <c r="G74" s="521" t="s">
        <v>4368</v>
      </c>
      <c r="H74" s="520"/>
      <c r="I74" s="521"/>
      <c r="J74" s="520"/>
      <c r="AW74" s="1395" t="s">
        <v>2332</v>
      </c>
      <c r="AX74" s="1395" t="s">
        <v>2032</v>
      </c>
      <c r="AY74" s="1396" t="s">
        <v>2075</v>
      </c>
      <c r="AZ74" s="1395">
        <v>655</v>
      </c>
      <c r="BA74" s="527" t="s">
        <v>1977</v>
      </c>
      <c r="BB74" s="535">
        <v>14.325368090755491</v>
      </c>
      <c r="BC74" s="534" t="s">
        <v>2006</v>
      </c>
      <c r="BD74" s="536"/>
      <c r="BE74" s="536"/>
      <c r="BF74" s="534"/>
      <c r="BG74" s="536"/>
      <c r="BH74" s="537">
        <f t="shared" ref="BH74:BH106" si="43">+VLOOKUP($AY74,$BZ$3:$CH$21,2,FALSE)</f>
        <v>16.8</v>
      </c>
      <c r="BI74" s="537">
        <f t="shared" ref="BI74:BI106" si="44">+VLOOKUP($AY74,$BZ$3:$CH$21,3,FALSE)</f>
        <v>2.5</v>
      </c>
      <c r="BJ74" s="537">
        <f t="shared" ref="BJ74:BJ106" si="45">+VLOOKUP($AY74,$BZ$3:$CH$21,4,FALSE)</f>
        <v>43.4</v>
      </c>
      <c r="BK74" s="537">
        <f t="shared" ref="BK74:BK106" si="46">+VLOOKUP($AY74,$BZ$3:$CH$21,5,FALSE)</f>
        <v>6.5</v>
      </c>
      <c r="BL74" s="537">
        <f t="shared" ref="BL74:BL106" si="47">+VLOOKUP($AY74,$BZ$3:$CH$21,6,FALSE)</f>
        <v>9.5</v>
      </c>
      <c r="BM74" s="537">
        <f t="shared" ref="BM74:BM106" si="48">+VLOOKUP($AY74,$BZ$3:$CH$21,7,FALSE)</f>
        <v>5.6</v>
      </c>
      <c r="BN74" s="537">
        <f t="shared" ref="BN74:BN106" si="49">+VLOOKUP($AY74,$BZ$3:$CH$21,8,FALSE)</f>
        <v>4.5</v>
      </c>
      <c r="BO74" s="537">
        <f t="shared" ref="BO74:BO106" si="50">+VLOOKUP($AY74,$BZ$3:$CH$21,9,FALSE)</f>
        <v>11.200000000000003</v>
      </c>
      <c r="BP74" s="537">
        <f t="shared" si="42"/>
        <v>100</v>
      </c>
      <c r="BQ74" s="534" t="s">
        <v>1979</v>
      </c>
      <c r="BR74" s="556">
        <v>8.8539999999999994E-2</v>
      </c>
      <c r="BS74" s="556">
        <v>8.8539999999999994E-2</v>
      </c>
      <c r="BT74" s="556">
        <v>1.719E-2</v>
      </c>
      <c r="BU74" s="556">
        <v>7.3859999999999995E-2</v>
      </c>
      <c r="BV74" s="556">
        <v>4.929E-2</v>
      </c>
      <c r="BW74" s="557" t="s">
        <v>2275</v>
      </c>
      <c r="BX74" s="534" t="s">
        <v>2276</v>
      </c>
      <c r="DH74" s="539" t="str">
        <f t="shared" si="39"/>
        <v>Chad</v>
      </c>
      <c r="DI74" s="539" t="str">
        <f t="shared" si="40"/>
        <v>Africa</v>
      </c>
      <c r="DJ74" s="539" t="str">
        <f t="shared" si="41"/>
        <v>Middle Africa</v>
      </c>
      <c r="DL74" s="539" t="s">
        <v>35</v>
      </c>
      <c r="DN74" s="539" t="s">
        <v>2372</v>
      </c>
      <c r="DO74" s="539" t="s">
        <v>2373</v>
      </c>
    </row>
    <row r="75" spans="3:119">
      <c r="C75" s="463" t="s">
        <v>2382</v>
      </c>
      <c r="D75" s="519"/>
      <c r="E75" s="731">
        <v>3235</v>
      </c>
      <c r="F75" s="520" t="s">
        <v>2079</v>
      </c>
      <c r="G75" s="521" t="s">
        <v>4368</v>
      </c>
      <c r="H75" s="520"/>
      <c r="I75" s="521"/>
      <c r="J75" s="520"/>
      <c r="AW75" s="1395" t="s">
        <v>2356</v>
      </c>
      <c r="AX75" s="1395" t="s">
        <v>2032</v>
      </c>
      <c r="AY75" s="1396" t="s">
        <v>2075</v>
      </c>
      <c r="AZ75" s="1395">
        <v>43</v>
      </c>
      <c r="BA75" s="527" t="s">
        <v>1977</v>
      </c>
      <c r="BB75" s="535">
        <v>13.128907412920512</v>
      </c>
      <c r="BC75" s="534" t="s">
        <v>2006</v>
      </c>
      <c r="BD75" s="548">
        <v>5.7500000000000002E-2</v>
      </c>
      <c r="BE75" s="548">
        <v>0.01</v>
      </c>
      <c r="BF75" s="534" t="s">
        <v>2179</v>
      </c>
      <c r="BG75" s="536"/>
      <c r="BH75" s="537">
        <f t="shared" si="43"/>
        <v>16.8</v>
      </c>
      <c r="BI75" s="537">
        <f t="shared" si="44"/>
        <v>2.5</v>
      </c>
      <c r="BJ75" s="537">
        <f t="shared" si="45"/>
        <v>43.4</v>
      </c>
      <c r="BK75" s="537">
        <f t="shared" si="46"/>
        <v>6.5</v>
      </c>
      <c r="BL75" s="537">
        <f t="shared" si="47"/>
        <v>9.5</v>
      </c>
      <c r="BM75" s="537">
        <f t="shared" si="48"/>
        <v>5.6</v>
      </c>
      <c r="BN75" s="537">
        <f t="shared" si="49"/>
        <v>4.5</v>
      </c>
      <c r="BO75" s="537">
        <f t="shared" si="50"/>
        <v>11.200000000000003</v>
      </c>
      <c r="BP75" s="537">
        <f t="shared" si="42"/>
        <v>100</v>
      </c>
      <c r="BQ75" s="534" t="s">
        <v>1979</v>
      </c>
      <c r="BR75" s="556">
        <v>8.8539999999999994E-2</v>
      </c>
      <c r="BS75" s="556">
        <v>8.8539999999999994E-2</v>
      </c>
      <c r="BT75" s="556">
        <v>1.719E-2</v>
      </c>
      <c r="BU75" s="556">
        <v>7.3859999999999995E-2</v>
      </c>
      <c r="BV75" s="556">
        <v>4.929E-2</v>
      </c>
      <c r="BW75" s="557" t="s">
        <v>2275</v>
      </c>
      <c r="BX75" s="534" t="s">
        <v>2276</v>
      </c>
      <c r="DH75" s="539" t="str">
        <f t="shared" si="39"/>
        <v>Congo. Democratic Republic of</v>
      </c>
      <c r="DI75" s="539" t="str">
        <f t="shared" si="40"/>
        <v>Africa</v>
      </c>
      <c r="DJ75" s="539" t="str">
        <f t="shared" si="41"/>
        <v>Middle Africa</v>
      </c>
      <c r="DK75" s="539" t="e">
        <f>VLOOKUP(DH75,#REF!,1)</f>
        <v>#REF!</v>
      </c>
      <c r="DL75" s="539" t="e">
        <f>VLOOKUP(DK75,#REF!,2,FALSE)</f>
        <v>#REF!</v>
      </c>
      <c r="DN75" s="539" t="s">
        <v>2376</v>
      </c>
      <c r="DO75" s="539" t="s">
        <v>2377</v>
      </c>
    </row>
    <row r="76" spans="3:119">
      <c r="C76" s="463" t="s">
        <v>2386</v>
      </c>
      <c r="D76" s="519"/>
      <c r="E76" s="731">
        <v>1935</v>
      </c>
      <c r="F76" s="520" t="s">
        <v>2079</v>
      </c>
      <c r="G76" s="521" t="s">
        <v>4368</v>
      </c>
      <c r="H76" s="520"/>
      <c r="I76" s="521"/>
      <c r="J76" s="520"/>
      <c r="AW76" s="1395" t="s">
        <v>2359</v>
      </c>
      <c r="AX76" s="1395" t="s">
        <v>2032</v>
      </c>
      <c r="AY76" s="1396" t="s">
        <v>2075</v>
      </c>
      <c r="AZ76" s="1395">
        <v>342</v>
      </c>
      <c r="BA76" s="527" t="s">
        <v>1977</v>
      </c>
      <c r="BB76" s="535">
        <v>15.289682949499122</v>
      </c>
      <c r="BC76" s="534" t="s">
        <v>2006</v>
      </c>
      <c r="BD76" s="536"/>
      <c r="BE76" s="536"/>
      <c r="BF76" s="534"/>
      <c r="BG76" s="536"/>
      <c r="BH76" s="537">
        <f t="shared" si="43"/>
        <v>16.8</v>
      </c>
      <c r="BI76" s="537">
        <f t="shared" si="44"/>
        <v>2.5</v>
      </c>
      <c r="BJ76" s="537">
        <f t="shared" si="45"/>
        <v>43.4</v>
      </c>
      <c r="BK76" s="537">
        <f t="shared" si="46"/>
        <v>6.5</v>
      </c>
      <c r="BL76" s="537">
        <f t="shared" si="47"/>
        <v>9.5</v>
      </c>
      <c r="BM76" s="537">
        <f t="shared" si="48"/>
        <v>5.6</v>
      </c>
      <c r="BN76" s="537">
        <f t="shared" si="49"/>
        <v>4.5</v>
      </c>
      <c r="BO76" s="537">
        <f t="shared" si="50"/>
        <v>11.200000000000003</v>
      </c>
      <c r="BP76" s="537">
        <f t="shared" si="42"/>
        <v>100</v>
      </c>
      <c r="BQ76" s="534" t="s">
        <v>1979</v>
      </c>
      <c r="BR76" s="556">
        <v>8.8539999999999994E-2</v>
      </c>
      <c r="BS76" s="556">
        <v>8.8539999999999994E-2</v>
      </c>
      <c r="BT76" s="556">
        <v>1.719E-2</v>
      </c>
      <c r="BU76" s="556">
        <v>7.3859999999999995E-2</v>
      </c>
      <c r="BV76" s="556">
        <v>4.929E-2</v>
      </c>
      <c r="BW76" s="557" t="s">
        <v>2275</v>
      </c>
      <c r="BX76" s="534" t="s">
        <v>2276</v>
      </c>
      <c r="DH76" s="539" t="str">
        <f t="shared" si="39"/>
        <v>Congo. Republic of</v>
      </c>
      <c r="DI76" s="539" t="str">
        <f t="shared" si="40"/>
        <v>Africa</v>
      </c>
      <c r="DJ76" s="539" t="str">
        <f t="shared" si="41"/>
        <v>Middle Africa</v>
      </c>
      <c r="DL76" s="539" t="s">
        <v>35</v>
      </c>
      <c r="DN76" s="539" t="s">
        <v>2380</v>
      </c>
      <c r="DO76" s="539" t="s">
        <v>2381</v>
      </c>
    </row>
    <row r="77" spans="3:119" ht="25.5">
      <c r="C77" s="463" t="s">
        <v>2390</v>
      </c>
      <c r="D77" s="519"/>
      <c r="E77" s="731">
        <v>1885</v>
      </c>
      <c r="F77" s="520" t="s">
        <v>2079</v>
      </c>
      <c r="G77" s="521" t="s">
        <v>4368</v>
      </c>
      <c r="H77" s="520"/>
      <c r="I77" s="521"/>
      <c r="J77" s="520"/>
      <c r="AW77" s="1395" t="s">
        <v>2422</v>
      </c>
      <c r="AX77" s="1395" t="s">
        <v>2032</v>
      </c>
      <c r="AY77" s="1396" t="s">
        <v>2075</v>
      </c>
      <c r="AZ77" s="1395">
        <v>531</v>
      </c>
      <c r="BA77" s="527" t="s">
        <v>1977</v>
      </c>
      <c r="BB77" s="535">
        <v>9.3894684857089938</v>
      </c>
      <c r="BC77" s="534" t="s">
        <v>2087</v>
      </c>
      <c r="BD77" s="536"/>
      <c r="BE77" s="536"/>
      <c r="BF77" s="534"/>
      <c r="BG77" s="536"/>
      <c r="BH77" s="537">
        <f t="shared" si="43"/>
        <v>16.8</v>
      </c>
      <c r="BI77" s="537">
        <f t="shared" si="44"/>
        <v>2.5</v>
      </c>
      <c r="BJ77" s="537">
        <f t="shared" si="45"/>
        <v>43.4</v>
      </c>
      <c r="BK77" s="537">
        <f t="shared" si="46"/>
        <v>6.5</v>
      </c>
      <c r="BL77" s="537">
        <f t="shared" si="47"/>
        <v>9.5</v>
      </c>
      <c r="BM77" s="537">
        <f t="shared" si="48"/>
        <v>5.6</v>
      </c>
      <c r="BN77" s="537">
        <f t="shared" si="49"/>
        <v>4.5</v>
      </c>
      <c r="BO77" s="537">
        <f t="shared" si="50"/>
        <v>11.200000000000003</v>
      </c>
      <c r="BP77" s="537">
        <f t="shared" si="42"/>
        <v>100</v>
      </c>
      <c r="BQ77" s="534" t="s">
        <v>1979</v>
      </c>
      <c r="BR77" s="556">
        <v>8.8539999999999994E-2</v>
      </c>
      <c r="BS77" s="556">
        <v>8.8539999999999994E-2</v>
      </c>
      <c r="BT77" s="556">
        <v>1.719E-2</v>
      </c>
      <c r="BU77" s="556">
        <v>7.3859999999999995E-2</v>
      </c>
      <c r="BV77" s="556">
        <v>4.929E-2</v>
      </c>
      <c r="BW77" s="557" t="s">
        <v>2275</v>
      </c>
      <c r="BX77" s="534" t="s">
        <v>2276</v>
      </c>
      <c r="DH77" s="539" t="str">
        <f t="shared" si="39"/>
        <v>Equatorial Guinea</v>
      </c>
      <c r="DI77" s="539" t="str">
        <f t="shared" si="40"/>
        <v>Africa</v>
      </c>
      <c r="DJ77" s="539" t="str">
        <f t="shared" si="41"/>
        <v>Middle Africa</v>
      </c>
      <c r="DL77" s="539" t="s">
        <v>35</v>
      </c>
      <c r="DN77" s="539" t="s">
        <v>2384</v>
      </c>
      <c r="DO77" s="539" t="s">
        <v>2385</v>
      </c>
    </row>
    <row r="78" spans="3:119">
      <c r="C78" s="463" t="s">
        <v>2394</v>
      </c>
      <c r="D78" s="519"/>
      <c r="E78" s="731">
        <v>3171</v>
      </c>
      <c r="F78" s="520" t="s">
        <v>2079</v>
      </c>
      <c r="G78" s="521" t="s">
        <v>4368</v>
      </c>
      <c r="H78" s="520"/>
      <c r="I78" s="521"/>
      <c r="J78" s="520"/>
      <c r="AW78" s="1395" t="s">
        <v>2465</v>
      </c>
      <c r="AX78" s="1395" t="s">
        <v>2032</v>
      </c>
      <c r="AY78" s="1396" t="s">
        <v>2075</v>
      </c>
      <c r="AZ78" s="1395">
        <v>439</v>
      </c>
      <c r="BA78" s="527" t="s">
        <v>1977</v>
      </c>
      <c r="BB78" s="535">
        <v>3.9770114942528738</v>
      </c>
      <c r="BC78" s="534" t="s">
        <v>2006</v>
      </c>
      <c r="BD78" s="536"/>
      <c r="BE78" s="536"/>
      <c r="BF78" s="534"/>
      <c r="BG78" s="536"/>
      <c r="BH78" s="537">
        <f t="shared" si="43"/>
        <v>16.8</v>
      </c>
      <c r="BI78" s="537">
        <f t="shared" si="44"/>
        <v>2.5</v>
      </c>
      <c r="BJ78" s="537">
        <f t="shared" si="45"/>
        <v>43.4</v>
      </c>
      <c r="BK78" s="537">
        <f t="shared" si="46"/>
        <v>6.5</v>
      </c>
      <c r="BL78" s="537">
        <f t="shared" si="47"/>
        <v>9.5</v>
      </c>
      <c r="BM78" s="537">
        <f t="shared" si="48"/>
        <v>5.6</v>
      </c>
      <c r="BN78" s="537">
        <f t="shared" si="49"/>
        <v>4.5</v>
      </c>
      <c r="BO78" s="537">
        <f t="shared" si="50"/>
        <v>11.200000000000003</v>
      </c>
      <c r="BP78" s="537">
        <f t="shared" si="42"/>
        <v>100</v>
      </c>
      <c r="BQ78" s="534" t="s">
        <v>1979</v>
      </c>
      <c r="BR78" s="556">
        <v>8.8539999999999994E-2</v>
      </c>
      <c r="BS78" s="556">
        <v>8.8539999999999994E-2</v>
      </c>
      <c r="BT78" s="556">
        <v>1.719E-2</v>
      </c>
      <c r="BU78" s="556">
        <v>7.3859999999999995E-2</v>
      </c>
      <c r="BV78" s="556">
        <v>4.929E-2</v>
      </c>
      <c r="BW78" s="557" t="s">
        <v>2275</v>
      </c>
      <c r="BX78" s="534" t="s">
        <v>2276</v>
      </c>
      <c r="DH78" s="539" t="str">
        <f t="shared" si="39"/>
        <v>Gabon</v>
      </c>
      <c r="DI78" s="539" t="str">
        <f t="shared" si="40"/>
        <v>Africa</v>
      </c>
      <c r="DJ78" s="539" t="str">
        <f t="shared" si="41"/>
        <v>Middle Africa</v>
      </c>
      <c r="DK78" s="539" t="e">
        <f>VLOOKUP(DH78,#REF!,1)</f>
        <v>#REF!</v>
      </c>
      <c r="DL78" s="539" t="e">
        <f>VLOOKUP(DK78,#REF!,2,FALSE)</f>
        <v>#REF!</v>
      </c>
      <c r="DN78" s="539" t="s">
        <v>2388</v>
      </c>
      <c r="DO78" s="539" t="s">
        <v>2389</v>
      </c>
    </row>
    <row r="79" spans="3:119">
      <c r="C79" s="463" t="s">
        <v>2398</v>
      </c>
      <c r="D79" s="519"/>
      <c r="E79" s="731">
        <v>2548</v>
      </c>
      <c r="F79" s="520" t="s">
        <v>2079</v>
      </c>
      <c r="G79" s="521" t="s">
        <v>4368</v>
      </c>
      <c r="H79" s="520"/>
      <c r="I79" s="521"/>
      <c r="J79" s="520"/>
      <c r="AW79" s="1395" t="s">
        <v>2716</v>
      </c>
      <c r="AX79" s="1395" t="s">
        <v>2032</v>
      </c>
      <c r="AY79" s="1396" t="s">
        <v>2075</v>
      </c>
      <c r="AZ79" s="1395">
        <v>530</v>
      </c>
      <c r="BA79" s="527" t="s">
        <v>1977</v>
      </c>
      <c r="BB79" s="535">
        <v>4.5207765347372382</v>
      </c>
      <c r="BC79" s="534" t="s">
        <v>2006</v>
      </c>
      <c r="BD79" s="548">
        <v>5.7500000000000002E-2</v>
      </c>
      <c r="BE79" s="548">
        <v>0.04</v>
      </c>
      <c r="BF79" s="534" t="s">
        <v>2179</v>
      </c>
      <c r="BG79" s="536"/>
      <c r="BH79" s="537">
        <f t="shared" si="43"/>
        <v>16.8</v>
      </c>
      <c r="BI79" s="537">
        <f t="shared" si="44"/>
        <v>2.5</v>
      </c>
      <c r="BJ79" s="537">
        <f t="shared" si="45"/>
        <v>43.4</v>
      </c>
      <c r="BK79" s="537">
        <f t="shared" si="46"/>
        <v>6.5</v>
      </c>
      <c r="BL79" s="537">
        <f t="shared" si="47"/>
        <v>9.5</v>
      </c>
      <c r="BM79" s="537">
        <f t="shared" si="48"/>
        <v>5.6</v>
      </c>
      <c r="BN79" s="537">
        <f t="shared" si="49"/>
        <v>4.5</v>
      </c>
      <c r="BO79" s="537">
        <f t="shared" si="50"/>
        <v>11.200000000000003</v>
      </c>
      <c r="BP79" s="537">
        <f t="shared" si="42"/>
        <v>100</v>
      </c>
      <c r="BQ79" s="534" t="s">
        <v>1979</v>
      </c>
      <c r="BR79" s="556">
        <v>8.8539999999999994E-2</v>
      </c>
      <c r="BS79" s="556">
        <v>8.8539999999999994E-2</v>
      </c>
      <c r="BT79" s="556">
        <v>1.719E-2</v>
      </c>
      <c r="BU79" s="556">
        <v>7.3859999999999995E-2</v>
      </c>
      <c r="BV79" s="556">
        <v>4.929E-2</v>
      </c>
      <c r="BW79" s="557" t="s">
        <v>2275</v>
      </c>
      <c r="BX79" s="534" t="s">
        <v>2276</v>
      </c>
      <c r="DH79" s="539" t="str">
        <f t="shared" si="39"/>
        <v>Sao Tomé &amp; Principe</v>
      </c>
      <c r="DI79" s="539" t="str">
        <f t="shared" si="40"/>
        <v>Africa</v>
      </c>
      <c r="DJ79" s="539" t="str">
        <f t="shared" si="41"/>
        <v>Middle Africa</v>
      </c>
      <c r="DK79" s="539" t="e">
        <f>VLOOKUP(DH79,#REF!,1)</f>
        <v>#REF!</v>
      </c>
      <c r="DL79" s="539" t="e">
        <f>VLOOKUP(DK79,#REF!,2,FALSE)</f>
        <v>#REF!</v>
      </c>
      <c r="DN79" s="539" t="s">
        <v>2392</v>
      </c>
      <c r="DO79" s="539" t="s">
        <v>2393</v>
      </c>
    </row>
    <row r="80" spans="3:119">
      <c r="C80" s="463" t="s">
        <v>2402</v>
      </c>
      <c r="D80" s="519"/>
      <c r="E80" s="731">
        <v>1258</v>
      </c>
      <c r="F80" s="520" t="s">
        <v>2079</v>
      </c>
      <c r="G80" s="521" t="s">
        <v>4368</v>
      </c>
      <c r="H80" s="520"/>
      <c r="I80" s="521"/>
      <c r="J80" s="520"/>
      <c r="AW80" s="1393" t="s">
        <v>1975</v>
      </c>
      <c r="AX80" s="1394" t="s">
        <v>2086</v>
      </c>
      <c r="AY80" s="1396" t="s">
        <v>2151</v>
      </c>
      <c r="AZ80" s="1395">
        <v>206</v>
      </c>
      <c r="BA80" s="527" t="s">
        <v>1977</v>
      </c>
      <c r="BB80" s="535">
        <v>6.1334824757643549</v>
      </c>
      <c r="BC80" s="534" t="s">
        <v>2006</v>
      </c>
      <c r="BD80" s="548">
        <v>5.7500000000000002E-2</v>
      </c>
      <c r="BE80" s="548">
        <v>5.7500000000000002E-2</v>
      </c>
      <c r="BF80" s="534" t="s">
        <v>2179</v>
      </c>
      <c r="BG80" s="536"/>
      <c r="BH80" s="537">
        <f t="shared" si="43"/>
        <v>23.2</v>
      </c>
      <c r="BI80" s="537">
        <f t="shared" si="44"/>
        <v>3.9</v>
      </c>
      <c r="BJ80" s="537">
        <f t="shared" si="45"/>
        <v>33.9</v>
      </c>
      <c r="BK80" s="537">
        <f t="shared" si="46"/>
        <v>6.2</v>
      </c>
      <c r="BL80" s="537">
        <f t="shared" si="47"/>
        <v>9.5</v>
      </c>
      <c r="BM80" s="537">
        <f t="shared" si="48"/>
        <v>5.6</v>
      </c>
      <c r="BN80" s="537">
        <f t="shared" si="49"/>
        <v>8.5</v>
      </c>
      <c r="BO80" s="537">
        <f t="shared" si="50"/>
        <v>9.2000000000000028</v>
      </c>
      <c r="BP80" s="537">
        <f t="shared" si="42"/>
        <v>100</v>
      </c>
      <c r="BQ80" s="534" t="s">
        <v>1979</v>
      </c>
      <c r="BR80" s="556">
        <v>8.8539999999999994E-2</v>
      </c>
      <c r="BS80" s="556">
        <v>8.8539999999999994E-2</v>
      </c>
      <c r="BT80" s="556">
        <v>1.719E-2</v>
      </c>
      <c r="BU80" s="556">
        <v>7.3859999999999995E-2</v>
      </c>
      <c r="BV80" s="556">
        <v>4.929E-2</v>
      </c>
      <c r="BW80" s="557" t="s">
        <v>2275</v>
      </c>
      <c r="BX80" s="534" t="s">
        <v>2276</v>
      </c>
      <c r="DH80" s="539" t="str">
        <f t="shared" si="39"/>
        <v>Canada-Alberta (AB)</v>
      </c>
      <c r="DI80" s="539" t="str">
        <f t="shared" si="40"/>
        <v>Americas</v>
      </c>
      <c r="DJ80" s="539" t="str">
        <f t="shared" si="41"/>
        <v>North America</v>
      </c>
      <c r="DK80" s="539" t="e">
        <f>VLOOKUP(DH80,#REF!,1)</f>
        <v>#REF!</v>
      </c>
      <c r="DL80" s="539" t="e">
        <f>VLOOKUP(DK80,#REF!,2,FALSE)</f>
        <v>#REF!</v>
      </c>
      <c r="DN80" s="539" t="s">
        <v>2396</v>
      </c>
      <c r="DO80" s="539" t="s">
        <v>2397</v>
      </c>
    </row>
    <row r="81" spans="3:119" ht="25.5">
      <c r="C81" s="463" t="s">
        <v>2406</v>
      </c>
      <c r="D81" s="519"/>
      <c r="E81" s="731">
        <v>2631</v>
      </c>
      <c r="F81" s="520" t="s">
        <v>2079</v>
      </c>
      <c r="G81" s="521" t="s">
        <v>4368</v>
      </c>
      <c r="H81" s="520"/>
      <c r="I81" s="521"/>
      <c r="J81" s="520"/>
      <c r="AW81" s="1393" t="s">
        <v>2004</v>
      </c>
      <c r="AX81" s="1394" t="s">
        <v>2086</v>
      </c>
      <c r="AY81" s="1396" t="s">
        <v>2151</v>
      </c>
      <c r="AZ81" s="1395">
        <v>43</v>
      </c>
      <c r="BA81" s="527" t="s">
        <v>1977</v>
      </c>
      <c r="BB81" s="535">
        <v>13.490630673342661</v>
      </c>
      <c r="BC81" s="534" t="s">
        <v>2223</v>
      </c>
      <c r="BD81" s="536"/>
      <c r="BE81" s="536"/>
      <c r="BF81" s="534"/>
      <c r="BG81" s="536"/>
      <c r="BH81" s="537">
        <f t="shared" si="43"/>
        <v>23.2</v>
      </c>
      <c r="BI81" s="537">
        <f t="shared" si="44"/>
        <v>3.9</v>
      </c>
      <c r="BJ81" s="537">
        <f t="shared" si="45"/>
        <v>33.9</v>
      </c>
      <c r="BK81" s="537">
        <f t="shared" si="46"/>
        <v>6.2</v>
      </c>
      <c r="BL81" s="537">
        <f t="shared" si="47"/>
        <v>9.5</v>
      </c>
      <c r="BM81" s="537">
        <f t="shared" si="48"/>
        <v>5.6</v>
      </c>
      <c r="BN81" s="537">
        <f t="shared" si="49"/>
        <v>8.5</v>
      </c>
      <c r="BO81" s="537">
        <f t="shared" si="50"/>
        <v>9.2000000000000028</v>
      </c>
      <c r="BP81" s="537">
        <f t="shared" si="42"/>
        <v>100</v>
      </c>
      <c r="BQ81" s="534" t="s">
        <v>1979</v>
      </c>
      <c r="BR81" s="556">
        <v>8.8539999999999994E-2</v>
      </c>
      <c r="BS81" s="556">
        <v>8.8539999999999994E-2</v>
      </c>
      <c r="BT81" s="556">
        <v>1.719E-2</v>
      </c>
      <c r="BU81" s="556">
        <v>7.3859999999999995E-2</v>
      </c>
      <c r="BV81" s="556">
        <v>4.929E-2</v>
      </c>
      <c r="BW81" s="557" t="s">
        <v>2275</v>
      </c>
      <c r="BX81" s="534" t="s">
        <v>2276</v>
      </c>
      <c r="DH81" s="539" t="str">
        <f t="shared" si="39"/>
        <v>Canada-British Columbia (BC)</v>
      </c>
      <c r="DI81" s="539" t="str">
        <f t="shared" si="40"/>
        <v>Americas</v>
      </c>
      <c r="DJ81" s="539" t="str">
        <f t="shared" si="41"/>
        <v>North America</v>
      </c>
      <c r="DL81" s="539" t="s">
        <v>35</v>
      </c>
      <c r="DN81" s="539" t="s">
        <v>2400</v>
      </c>
      <c r="DO81" s="539" t="s">
        <v>2401</v>
      </c>
    </row>
    <row r="82" spans="3:119" ht="25.5">
      <c r="C82" s="463" t="s">
        <v>2410</v>
      </c>
      <c r="D82" s="519"/>
      <c r="E82" s="731">
        <v>3190</v>
      </c>
      <c r="F82" s="520" t="s">
        <v>2079</v>
      </c>
      <c r="G82" s="521" t="s">
        <v>4368</v>
      </c>
      <c r="H82" s="520"/>
      <c r="I82" s="521"/>
      <c r="J82" s="520"/>
      <c r="AW82" s="1393" t="s">
        <v>2031</v>
      </c>
      <c r="AX82" s="1394" t="s">
        <v>2086</v>
      </c>
      <c r="AY82" s="1396" t="s">
        <v>2151</v>
      </c>
      <c r="AZ82" s="1395">
        <v>429</v>
      </c>
      <c r="BA82" s="527" t="s">
        <v>1977</v>
      </c>
      <c r="BB82" s="535">
        <v>9.3894684857089938</v>
      </c>
      <c r="BC82" s="534" t="s">
        <v>2087</v>
      </c>
      <c r="BD82" s="536"/>
      <c r="BE82" s="536"/>
      <c r="BF82" s="534"/>
      <c r="BG82" s="536"/>
      <c r="BH82" s="537">
        <f t="shared" si="43"/>
        <v>23.2</v>
      </c>
      <c r="BI82" s="537">
        <f t="shared" si="44"/>
        <v>3.9</v>
      </c>
      <c r="BJ82" s="537">
        <f t="shared" si="45"/>
        <v>33.9</v>
      </c>
      <c r="BK82" s="537">
        <f t="shared" si="46"/>
        <v>6.2</v>
      </c>
      <c r="BL82" s="537">
        <f t="shared" si="47"/>
        <v>9.5</v>
      </c>
      <c r="BM82" s="537">
        <f t="shared" si="48"/>
        <v>5.6</v>
      </c>
      <c r="BN82" s="537">
        <f t="shared" si="49"/>
        <v>8.5</v>
      </c>
      <c r="BO82" s="537">
        <f t="shared" si="50"/>
        <v>9.2000000000000028</v>
      </c>
      <c r="BP82" s="537">
        <f t="shared" si="42"/>
        <v>100</v>
      </c>
      <c r="BQ82" s="534" t="s">
        <v>1979</v>
      </c>
      <c r="BR82" s="556">
        <v>8.8539999999999994E-2</v>
      </c>
      <c r="BS82" s="556">
        <v>8.8539999999999994E-2</v>
      </c>
      <c r="BT82" s="556">
        <v>1.719E-2</v>
      </c>
      <c r="BU82" s="556">
        <v>7.3859999999999995E-2</v>
      </c>
      <c r="BV82" s="556">
        <v>4.929E-2</v>
      </c>
      <c r="BW82" s="557" t="s">
        <v>2275</v>
      </c>
      <c r="BX82" s="534" t="s">
        <v>2276</v>
      </c>
      <c r="DH82" s="539" t="str">
        <f t="shared" si="39"/>
        <v>Canada-Manitoba (MT)</v>
      </c>
      <c r="DI82" s="539" t="str">
        <f t="shared" si="40"/>
        <v>Americas</v>
      </c>
      <c r="DJ82" s="539" t="str">
        <f t="shared" si="41"/>
        <v>North America</v>
      </c>
      <c r="DL82" s="539" t="s">
        <v>35</v>
      </c>
      <c r="DN82" s="539" t="s">
        <v>2404</v>
      </c>
      <c r="DO82" s="539" t="s">
        <v>2405</v>
      </c>
    </row>
    <row r="83" spans="3:119">
      <c r="C83" s="463" t="s">
        <v>2414</v>
      </c>
      <c r="D83" s="519"/>
      <c r="E83" s="731">
        <v>3143</v>
      </c>
      <c r="F83" s="520" t="s">
        <v>2079</v>
      </c>
      <c r="G83" s="521" t="s">
        <v>4368</v>
      </c>
      <c r="H83" s="520"/>
      <c r="I83" s="521"/>
      <c r="J83" s="520"/>
      <c r="AW83" s="1393" t="s">
        <v>2047</v>
      </c>
      <c r="AX83" s="1394" t="s">
        <v>2086</v>
      </c>
      <c r="AY83" s="1396" t="s">
        <v>2151</v>
      </c>
      <c r="AZ83" s="1395">
        <v>544</v>
      </c>
      <c r="BA83" s="527" t="s">
        <v>1977</v>
      </c>
      <c r="BB83" s="535">
        <v>12.178688710225343</v>
      </c>
      <c r="BC83" s="534" t="s">
        <v>2006</v>
      </c>
      <c r="BD83" s="536"/>
      <c r="BE83" s="536"/>
      <c r="BF83" s="534"/>
      <c r="BG83" s="536"/>
      <c r="BH83" s="537">
        <f t="shared" si="43"/>
        <v>23.2</v>
      </c>
      <c r="BI83" s="537">
        <f t="shared" si="44"/>
        <v>3.9</v>
      </c>
      <c r="BJ83" s="537">
        <f t="shared" si="45"/>
        <v>33.9</v>
      </c>
      <c r="BK83" s="537">
        <f t="shared" si="46"/>
        <v>6.2</v>
      </c>
      <c r="BL83" s="537">
        <f t="shared" si="47"/>
        <v>9.5</v>
      </c>
      <c r="BM83" s="537">
        <f t="shared" si="48"/>
        <v>5.6</v>
      </c>
      <c r="BN83" s="537">
        <f t="shared" si="49"/>
        <v>8.5</v>
      </c>
      <c r="BO83" s="537">
        <f t="shared" si="50"/>
        <v>9.2000000000000028</v>
      </c>
      <c r="BP83" s="537">
        <f t="shared" si="42"/>
        <v>100</v>
      </c>
      <c r="BQ83" s="534" t="s">
        <v>1979</v>
      </c>
      <c r="BR83" s="556">
        <v>8.8539999999999994E-2</v>
      </c>
      <c r="BS83" s="556">
        <v>8.8539999999999994E-2</v>
      </c>
      <c r="BT83" s="556">
        <v>1.719E-2</v>
      </c>
      <c r="BU83" s="556">
        <v>7.3859999999999995E-2</v>
      </c>
      <c r="BV83" s="556">
        <v>4.929E-2</v>
      </c>
      <c r="BW83" s="557" t="s">
        <v>2275</v>
      </c>
      <c r="BX83" s="534" t="s">
        <v>2276</v>
      </c>
      <c r="DH83" s="539" t="str">
        <f t="shared" si="39"/>
        <v>Canada-New Brunswick (NB)</v>
      </c>
      <c r="DI83" s="539" t="str">
        <f t="shared" si="40"/>
        <v>Americas</v>
      </c>
      <c r="DJ83" s="539" t="str">
        <f t="shared" si="41"/>
        <v>North America</v>
      </c>
      <c r="DL83" s="539" t="s">
        <v>35</v>
      </c>
      <c r="DN83" s="539" t="s">
        <v>2408</v>
      </c>
      <c r="DO83" s="539" t="s">
        <v>2409</v>
      </c>
    </row>
    <row r="84" spans="3:119">
      <c r="C84" s="463" t="s">
        <v>2417</v>
      </c>
      <c r="D84" s="519"/>
      <c r="E84" s="731">
        <v>2526</v>
      </c>
      <c r="F84" s="520" t="s">
        <v>2079</v>
      </c>
      <c r="G84" s="521" t="s">
        <v>4368</v>
      </c>
      <c r="H84" s="520"/>
      <c r="I84" s="521"/>
      <c r="J84" s="520"/>
      <c r="AW84" s="1393" t="s">
        <v>2061</v>
      </c>
      <c r="AX84" s="1394" t="s">
        <v>2086</v>
      </c>
      <c r="AY84" s="1396" t="s">
        <v>2151</v>
      </c>
      <c r="AZ84" s="1395">
        <v>43</v>
      </c>
      <c r="BA84" s="527" t="s">
        <v>1977</v>
      </c>
      <c r="BB84" s="535">
        <v>12.922203480478874</v>
      </c>
      <c r="BC84" s="534" t="s">
        <v>2006</v>
      </c>
      <c r="BD84" s="536"/>
      <c r="BE84" s="536"/>
      <c r="BF84" s="534"/>
      <c r="BG84" s="536"/>
      <c r="BH84" s="537">
        <f t="shared" si="43"/>
        <v>23.2</v>
      </c>
      <c r="BI84" s="537">
        <f t="shared" si="44"/>
        <v>3.9</v>
      </c>
      <c r="BJ84" s="537">
        <f t="shared" si="45"/>
        <v>33.9</v>
      </c>
      <c r="BK84" s="537">
        <f t="shared" si="46"/>
        <v>6.2</v>
      </c>
      <c r="BL84" s="537">
        <f t="shared" si="47"/>
        <v>9.5</v>
      </c>
      <c r="BM84" s="537">
        <f t="shared" si="48"/>
        <v>5.6</v>
      </c>
      <c r="BN84" s="537">
        <f t="shared" si="49"/>
        <v>8.5</v>
      </c>
      <c r="BO84" s="537">
        <f t="shared" si="50"/>
        <v>9.2000000000000028</v>
      </c>
      <c r="BP84" s="537">
        <f t="shared" si="42"/>
        <v>100</v>
      </c>
      <c r="BQ84" s="534" t="s">
        <v>1979</v>
      </c>
      <c r="BR84" s="556">
        <v>8.8539999999999994E-2</v>
      </c>
      <c r="BS84" s="556">
        <v>8.8539999999999994E-2</v>
      </c>
      <c r="BT84" s="556">
        <v>1.719E-2</v>
      </c>
      <c r="BU84" s="556">
        <v>7.3859999999999995E-2</v>
      </c>
      <c r="BV84" s="556">
        <v>4.929E-2</v>
      </c>
      <c r="BW84" s="557" t="s">
        <v>2275</v>
      </c>
      <c r="BX84" s="534" t="s">
        <v>2276</v>
      </c>
      <c r="DH84" s="539" t="str">
        <f t="shared" si="39"/>
        <v>Canada-Newfoundland and Labrador (NL)</v>
      </c>
      <c r="DI84" s="539" t="str">
        <f t="shared" si="40"/>
        <v>Americas</v>
      </c>
      <c r="DJ84" s="539" t="str">
        <f t="shared" si="41"/>
        <v>North America</v>
      </c>
      <c r="DL84" s="539" t="s">
        <v>35</v>
      </c>
      <c r="DN84" s="539" t="s">
        <v>2412</v>
      </c>
      <c r="DO84" s="539" t="s">
        <v>2413</v>
      </c>
    </row>
    <row r="85" spans="3:119">
      <c r="C85" s="463" t="s">
        <v>2421</v>
      </c>
      <c r="D85" s="519"/>
      <c r="E85" s="731">
        <v>3085</v>
      </c>
      <c r="F85" s="520" t="s">
        <v>2079</v>
      </c>
      <c r="G85" s="521" t="s">
        <v>4368</v>
      </c>
      <c r="H85" s="520"/>
      <c r="I85" s="521"/>
      <c r="J85" s="520"/>
      <c r="AW85" s="1393" t="s">
        <v>2085</v>
      </c>
      <c r="AX85" s="1394" t="s">
        <v>2086</v>
      </c>
      <c r="AY85" s="1396" t="s">
        <v>2151</v>
      </c>
      <c r="AZ85" s="1395">
        <v>493</v>
      </c>
      <c r="BA85" s="527" t="s">
        <v>1977</v>
      </c>
      <c r="BB85" s="535">
        <v>10.952966404574696</v>
      </c>
      <c r="BC85" s="534" t="s">
        <v>2006</v>
      </c>
      <c r="BD85" s="536"/>
      <c r="BE85" s="536"/>
      <c r="BF85" s="534"/>
      <c r="BG85" s="536"/>
      <c r="BH85" s="537">
        <f t="shared" si="43"/>
        <v>23.2</v>
      </c>
      <c r="BI85" s="537">
        <f t="shared" si="44"/>
        <v>3.9</v>
      </c>
      <c r="BJ85" s="537">
        <f t="shared" si="45"/>
        <v>33.9</v>
      </c>
      <c r="BK85" s="537">
        <f t="shared" si="46"/>
        <v>6.2</v>
      </c>
      <c r="BL85" s="537">
        <f t="shared" si="47"/>
        <v>9.5</v>
      </c>
      <c r="BM85" s="537">
        <f t="shared" si="48"/>
        <v>5.6</v>
      </c>
      <c r="BN85" s="537">
        <f t="shared" si="49"/>
        <v>8.5</v>
      </c>
      <c r="BO85" s="537">
        <f t="shared" si="50"/>
        <v>9.2000000000000028</v>
      </c>
      <c r="BP85" s="537">
        <f t="shared" si="42"/>
        <v>100</v>
      </c>
      <c r="BQ85" s="534" t="s">
        <v>1979</v>
      </c>
      <c r="BR85" s="556">
        <v>8.8539999999999994E-2</v>
      </c>
      <c r="BS85" s="556">
        <v>8.8539999999999994E-2</v>
      </c>
      <c r="BT85" s="556">
        <v>1.719E-2</v>
      </c>
      <c r="BU85" s="556">
        <v>7.3859999999999995E-2</v>
      </c>
      <c r="BV85" s="556">
        <v>4.929E-2</v>
      </c>
      <c r="BW85" s="557" t="s">
        <v>2275</v>
      </c>
      <c r="BX85" s="534" t="s">
        <v>2276</v>
      </c>
      <c r="DH85" s="539" t="str">
        <f t="shared" si="39"/>
        <v>Canada-Northwest Territories (NT)</v>
      </c>
      <c r="DI85" s="539" t="str">
        <f t="shared" si="40"/>
        <v>Americas</v>
      </c>
      <c r="DJ85" s="539" t="str">
        <f t="shared" si="41"/>
        <v>North America</v>
      </c>
      <c r="DL85" s="539" t="s">
        <v>35</v>
      </c>
      <c r="DN85" s="539" t="s">
        <v>2415</v>
      </c>
      <c r="DO85" s="539" t="s">
        <v>2416</v>
      </c>
    </row>
    <row r="86" spans="3:119">
      <c r="C86" s="463" t="s">
        <v>2425</v>
      </c>
      <c r="D86" s="519"/>
      <c r="E86" s="731">
        <v>2917</v>
      </c>
      <c r="F86" s="520" t="s">
        <v>2079</v>
      </c>
      <c r="G86" s="521" t="s">
        <v>4368</v>
      </c>
      <c r="H86" s="520"/>
      <c r="I86" s="521"/>
      <c r="J86" s="520"/>
      <c r="AW86" s="1393" t="s">
        <v>2074</v>
      </c>
      <c r="AX86" s="1394" t="s">
        <v>2086</v>
      </c>
      <c r="AY86" s="1396" t="s">
        <v>2151</v>
      </c>
      <c r="AZ86" s="1395">
        <v>426</v>
      </c>
      <c r="BA86" s="527" t="s">
        <v>1977</v>
      </c>
      <c r="BB86" s="535">
        <v>11.328941025228989</v>
      </c>
      <c r="BC86" s="534" t="s">
        <v>2006</v>
      </c>
      <c r="BD86" s="536"/>
      <c r="BE86" s="536"/>
      <c r="BF86" s="534"/>
      <c r="BG86" s="536"/>
      <c r="BH86" s="537">
        <f t="shared" si="43"/>
        <v>23.2</v>
      </c>
      <c r="BI86" s="537">
        <f t="shared" si="44"/>
        <v>3.9</v>
      </c>
      <c r="BJ86" s="537">
        <f t="shared" si="45"/>
        <v>33.9</v>
      </c>
      <c r="BK86" s="537">
        <f t="shared" si="46"/>
        <v>6.2</v>
      </c>
      <c r="BL86" s="537">
        <f t="shared" si="47"/>
        <v>9.5</v>
      </c>
      <c r="BM86" s="537">
        <f t="shared" si="48"/>
        <v>5.6</v>
      </c>
      <c r="BN86" s="537">
        <f t="shared" si="49"/>
        <v>8.5</v>
      </c>
      <c r="BO86" s="537">
        <f t="shared" si="50"/>
        <v>9.2000000000000028</v>
      </c>
      <c r="BP86" s="537">
        <f t="shared" si="42"/>
        <v>100</v>
      </c>
      <c r="BQ86" s="534" t="s">
        <v>1979</v>
      </c>
      <c r="BR86" s="556">
        <v>8.8539999999999994E-2</v>
      </c>
      <c r="BS86" s="556">
        <v>8.8539999999999994E-2</v>
      </c>
      <c r="BT86" s="556">
        <v>1.719E-2</v>
      </c>
      <c r="BU86" s="556">
        <v>7.3859999999999995E-2</v>
      </c>
      <c r="BV86" s="556">
        <v>4.929E-2</v>
      </c>
      <c r="BW86" s="557" t="s">
        <v>2275</v>
      </c>
      <c r="BX86" s="534" t="s">
        <v>2276</v>
      </c>
      <c r="DH86" s="539" t="str">
        <f t="shared" si="39"/>
        <v>Canada-Nova Scotia (NS)</v>
      </c>
      <c r="DI86" s="539" t="str">
        <f t="shared" si="40"/>
        <v>Americas</v>
      </c>
      <c r="DJ86" s="539" t="str">
        <f t="shared" si="41"/>
        <v>North America</v>
      </c>
      <c r="DL86" s="539" t="s">
        <v>35</v>
      </c>
      <c r="DN86" s="539" t="s">
        <v>2419</v>
      </c>
      <c r="DO86" s="539" t="s">
        <v>2420</v>
      </c>
    </row>
    <row r="87" spans="3:119" ht="25.5">
      <c r="C87" s="463" t="s">
        <v>2429</v>
      </c>
      <c r="D87" s="519"/>
      <c r="E87" s="731">
        <v>2770</v>
      </c>
      <c r="F87" s="520" t="s">
        <v>2079</v>
      </c>
      <c r="G87" s="521" t="s">
        <v>4368</v>
      </c>
      <c r="H87" s="520"/>
      <c r="I87" s="521"/>
      <c r="J87" s="520"/>
      <c r="AW87" s="1393" t="s">
        <v>2097</v>
      </c>
      <c r="AX87" s="1394" t="s">
        <v>2086</v>
      </c>
      <c r="AY87" s="1396" t="s">
        <v>2151</v>
      </c>
      <c r="AZ87" s="1395">
        <v>527</v>
      </c>
      <c r="BA87" s="527" t="s">
        <v>1977</v>
      </c>
      <c r="BB87" s="535">
        <v>11.740747004194485</v>
      </c>
      <c r="BC87" s="534" t="s">
        <v>2263</v>
      </c>
      <c r="BD87" s="536"/>
      <c r="BE87" s="536"/>
      <c r="BF87" s="534"/>
      <c r="BG87" s="536"/>
      <c r="BH87" s="537">
        <f t="shared" si="43"/>
        <v>23.2</v>
      </c>
      <c r="BI87" s="537">
        <f t="shared" si="44"/>
        <v>3.9</v>
      </c>
      <c r="BJ87" s="537">
        <f t="shared" si="45"/>
        <v>33.9</v>
      </c>
      <c r="BK87" s="537">
        <f t="shared" si="46"/>
        <v>6.2</v>
      </c>
      <c r="BL87" s="537">
        <f t="shared" si="47"/>
        <v>9.5</v>
      </c>
      <c r="BM87" s="537">
        <f t="shared" si="48"/>
        <v>5.6</v>
      </c>
      <c r="BN87" s="537">
        <f t="shared" si="49"/>
        <v>8.5</v>
      </c>
      <c r="BO87" s="537">
        <f t="shared" si="50"/>
        <v>9.2000000000000028</v>
      </c>
      <c r="BP87" s="537">
        <f t="shared" si="42"/>
        <v>100</v>
      </c>
      <c r="BQ87" s="534" t="s">
        <v>1979</v>
      </c>
      <c r="BR87" s="556">
        <v>8.8539999999999994E-2</v>
      </c>
      <c r="BS87" s="556">
        <v>8.8539999999999994E-2</v>
      </c>
      <c r="BT87" s="556">
        <v>1.719E-2</v>
      </c>
      <c r="BU87" s="556">
        <v>7.3859999999999995E-2</v>
      </c>
      <c r="BV87" s="556">
        <v>4.929E-2</v>
      </c>
      <c r="BW87" s="557" t="s">
        <v>2275</v>
      </c>
      <c r="BX87" s="534" t="s">
        <v>2276</v>
      </c>
      <c r="DH87" s="539" t="str">
        <f t="shared" si="39"/>
        <v>Canada-Nunavut (NU)</v>
      </c>
      <c r="DI87" s="539" t="str">
        <f t="shared" si="40"/>
        <v>Americas</v>
      </c>
      <c r="DJ87" s="539" t="str">
        <f t="shared" si="41"/>
        <v>North America</v>
      </c>
      <c r="DL87" s="539" t="s">
        <v>35</v>
      </c>
      <c r="DN87" s="539" t="s">
        <v>2423</v>
      </c>
      <c r="DO87" s="539" t="s">
        <v>2424</v>
      </c>
    </row>
    <row r="88" spans="3:119">
      <c r="C88" s="463" t="s">
        <v>2433</v>
      </c>
      <c r="D88" s="519"/>
      <c r="E88" s="731">
        <v>2513</v>
      </c>
      <c r="F88" s="520" t="s">
        <v>2079</v>
      </c>
      <c r="G88" s="521" t="s">
        <v>4368</v>
      </c>
      <c r="H88" s="520"/>
      <c r="I88" s="521"/>
      <c r="J88" s="520"/>
      <c r="AW88" s="1393" t="s">
        <v>2104</v>
      </c>
      <c r="AX88" s="1394" t="s">
        <v>2086</v>
      </c>
      <c r="AY88" s="1396" t="s">
        <v>2151</v>
      </c>
      <c r="AZ88" s="1394">
        <v>366</v>
      </c>
      <c r="BA88" s="527" t="s">
        <v>2105</v>
      </c>
      <c r="BB88" s="535">
        <v>12.886597938144329</v>
      </c>
      <c r="BC88" s="534" t="s">
        <v>2006</v>
      </c>
      <c r="BD88" s="536"/>
      <c r="BE88" s="536"/>
      <c r="BF88" s="534"/>
      <c r="BG88" s="536"/>
      <c r="BH88" s="537">
        <f t="shared" si="43"/>
        <v>23.2</v>
      </c>
      <c r="BI88" s="537">
        <f t="shared" si="44"/>
        <v>3.9</v>
      </c>
      <c r="BJ88" s="537">
        <f t="shared" si="45"/>
        <v>33.9</v>
      </c>
      <c r="BK88" s="537">
        <f t="shared" si="46"/>
        <v>6.2</v>
      </c>
      <c r="BL88" s="537">
        <f t="shared" si="47"/>
        <v>9.5</v>
      </c>
      <c r="BM88" s="537">
        <f t="shared" si="48"/>
        <v>5.6</v>
      </c>
      <c r="BN88" s="537">
        <f t="shared" si="49"/>
        <v>8.5</v>
      </c>
      <c r="BO88" s="537">
        <f t="shared" si="50"/>
        <v>9.2000000000000028</v>
      </c>
      <c r="BP88" s="537">
        <f t="shared" si="42"/>
        <v>100</v>
      </c>
      <c r="BQ88" s="534" t="s">
        <v>1979</v>
      </c>
      <c r="BR88" s="556">
        <v>8.8539999999999994E-2</v>
      </c>
      <c r="BS88" s="556">
        <v>8.8539999999999994E-2</v>
      </c>
      <c r="BT88" s="556">
        <v>1.719E-2</v>
      </c>
      <c r="BU88" s="556">
        <v>7.3859999999999995E-2</v>
      </c>
      <c r="BV88" s="556">
        <v>4.929E-2</v>
      </c>
      <c r="BW88" s="557" t="s">
        <v>2275</v>
      </c>
      <c r="BX88" s="534" t="s">
        <v>2276</v>
      </c>
      <c r="DH88" s="539" t="str">
        <f t="shared" si="39"/>
        <v>Canada-Ontario (ON)</v>
      </c>
      <c r="DI88" s="539" t="str">
        <f t="shared" si="40"/>
        <v>Americas</v>
      </c>
      <c r="DJ88" s="539" t="str">
        <f t="shared" si="41"/>
        <v>North America</v>
      </c>
      <c r="DL88" s="539" t="s">
        <v>35</v>
      </c>
      <c r="DN88" s="539" t="s">
        <v>2427</v>
      </c>
      <c r="DO88" s="539" t="s">
        <v>2428</v>
      </c>
    </row>
    <row r="89" spans="3:119">
      <c r="C89" s="463" t="s">
        <v>2437</v>
      </c>
      <c r="D89" s="519"/>
      <c r="E89" s="731">
        <v>2608</v>
      </c>
      <c r="F89" s="520" t="s">
        <v>2079</v>
      </c>
      <c r="G89" s="521" t="s">
        <v>4368</v>
      </c>
      <c r="H89" s="520"/>
      <c r="I89" s="521"/>
      <c r="J89" s="520"/>
      <c r="AW89" s="1393" t="s">
        <v>2115</v>
      </c>
      <c r="AX89" s="1394" t="s">
        <v>2086</v>
      </c>
      <c r="AY89" s="1396" t="s">
        <v>2151</v>
      </c>
      <c r="AZ89" s="1395">
        <v>247</v>
      </c>
      <c r="BA89" s="527" t="s">
        <v>1977</v>
      </c>
      <c r="BB89" s="535">
        <v>6.7652257753495091</v>
      </c>
      <c r="BC89" s="534" t="s">
        <v>2006</v>
      </c>
      <c r="BD89" s="536"/>
      <c r="BE89" s="536"/>
      <c r="BF89" s="534"/>
      <c r="BG89" s="536"/>
      <c r="BH89" s="537">
        <f t="shared" si="43"/>
        <v>23.2</v>
      </c>
      <c r="BI89" s="537">
        <f t="shared" si="44"/>
        <v>3.9</v>
      </c>
      <c r="BJ89" s="537">
        <f t="shared" si="45"/>
        <v>33.9</v>
      </c>
      <c r="BK89" s="537">
        <f t="shared" si="46"/>
        <v>6.2</v>
      </c>
      <c r="BL89" s="537">
        <f t="shared" si="47"/>
        <v>9.5</v>
      </c>
      <c r="BM89" s="537">
        <f t="shared" si="48"/>
        <v>5.6</v>
      </c>
      <c r="BN89" s="537">
        <f t="shared" si="49"/>
        <v>8.5</v>
      </c>
      <c r="BO89" s="537">
        <f t="shared" si="50"/>
        <v>9.2000000000000028</v>
      </c>
      <c r="BP89" s="537">
        <f t="shared" si="42"/>
        <v>100</v>
      </c>
      <c r="BQ89" s="534" t="s">
        <v>1979</v>
      </c>
      <c r="BR89" s="556">
        <v>8.8539999999999994E-2</v>
      </c>
      <c r="BS89" s="556">
        <v>8.8539999999999994E-2</v>
      </c>
      <c r="BT89" s="556">
        <v>1.719E-2</v>
      </c>
      <c r="BU89" s="556">
        <v>7.3859999999999995E-2</v>
      </c>
      <c r="BV89" s="556">
        <v>4.929E-2</v>
      </c>
      <c r="BW89" s="557" t="s">
        <v>2275</v>
      </c>
      <c r="BX89" s="534" t="s">
        <v>2276</v>
      </c>
      <c r="DH89" s="539" t="str">
        <f t="shared" si="39"/>
        <v>Canada-Prince Edward Island (PE)</v>
      </c>
      <c r="DI89" s="539" t="str">
        <f t="shared" si="40"/>
        <v>Americas</v>
      </c>
      <c r="DJ89" s="539" t="str">
        <f t="shared" si="41"/>
        <v>North America</v>
      </c>
      <c r="DK89" s="539" t="e">
        <f>VLOOKUP(DH89,#REF!,1)</f>
        <v>#REF!</v>
      </c>
      <c r="DL89" s="539" t="e">
        <f>VLOOKUP(DK89,#REF!,2,FALSE)</f>
        <v>#REF!</v>
      </c>
      <c r="DN89" s="539" t="s">
        <v>2431</v>
      </c>
      <c r="DO89" s="539" t="s">
        <v>2432</v>
      </c>
    </row>
    <row r="90" spans="3:119" ht="25.5">
      <c r="C90" s="463" t="s">
        <v>2441</v>
      </c>
      <c r="D90" s="519"/>
      <c r="E90" s="731">
        <v>1505</v>
      </c>
      <c r="F90" s="520" t="s">
        <v>2079</v>
      </c>
      <c r="G90" s="521" t="s">
        <v>4368</v>
      </c>
      <c r="H90" s="520"/>
      <c r="I90" s="521"/>
      <c r="J90" s="520"/>
      <c r="AW90" s="1393" t="s">
        <v>2127</v>
      </c>
      <c r="AX90" s="1394" t="s">
        <v>2086</v>
      </c>
      <c r="AY90" s="1396" t="s">
        <v>2151</v>
      </c>
      <c r="AZ90" s="1395">
        <v>450</v>
      </c>
      <c r="BA90" s="527" t="s">
        <v>1977</v>
      </c>
      <c r="BB90" s="535">
        <v>11.740747004194485</v>
      </c>
      <c r="BC90" s="534" t="s">
        <v>2263</v>
      </c>
      <c r="BD90" s="536"/>
      <c r="BE90" s="536"/>
      <c r="BF90" s="534"/>
      <c r="BG90" s="536"/>
      <c r="BH90" s="537">
        <f t="shared" si="43"/>
        <v>23.2</v>
      </c>
      <c r="BI90" s="537">
        <f t="shared" si="44"/>
        <v>3.9</v>
      </c>
      <c r="BJ90" s="537">
        <f t="shared" si="45"/>
        <v>33.9</v>
      </c>
      <c r="BK90" s="537">
        <f t="shared" si="46"/>
        <v>6.2</v>
      </c>
      <c r="BL90" s="537">
        <f t="shared" si="47"/>
        <v>9.5</v>
      </c>
      <c r="BM90" s="537">
        <f t="shared" si="48"/>
        <v>5.6</v>
      </c>
      <c r="BN90" s="537">
        <f t="shared" si="49"/>
        <v>8.5</v>
      </c>
      <c r="BO90" s="537">
        <f t="shared" si="50"/>
        <v>9.2000000000000028</v>
      </c>
      <c r="BP90" s="537">
        <f t="shared" si="42"/>
        <v>100</v>
      </c>
      <c r="BQ90" s="534" t="s">
        <v>1979</v>
      </c>
      <c r="BR90" s="556">
        <v>8.8539999999999994E-2</v>
      </c>
      <c r="BS90" s="556">
        <v>8.8539999999999994E-2</v>
      </c>
      <c r="BT90" s="556">
        <v>1.719E-2</v>
      </c>
      <c r="BU90" s="556">
        <v>7.3859999999999995E-2</v>
      </c>
      <c r="BV90" s="556">
        <v>4.929E-2</v>
      </c>
      <c r="BW90" s="557" t="s">
        <v>2275</v>
      </c>
      <c r="BX90" s="534" t="s">
        <v>2276</v>
      </c>
      <c r="DH90" s="539" t="str">
        <f t="shared" si="39"/>
        <v>Canada-Quebec (QC)</v>
      </c>
      <c r="DI90" s="539" t="str">
        <f t="shared" si="40"/>
        <v>Americas</v>
      </c>
      <c r="DJ90" s="539" t="str">
        <f t="shared" si="41"/>
        <v>North America</v>
      </c>
      <c r="DL90" s="539" t="s">
        <v>35</v>
      </c>
      <c r="DN90" s="539" t="s">
        <v>2435</v>
      </c>
      <c r="DO90" s="539" t="s">
        <v>2436</v>
      </c>
    </row>
    <row r="91" spans="3:119">
      <c r="C91" s="463" t="s">
        <v>2445</v>
      </c>
      <c r="D91" s="519"/>
      <c r="E91" s="731">
        <v>1508</v>
      </c>
      <c r="F91" s="520" t="s">
        <v>2079</v>
      </c>
      <c r="G91" s="521" t="s">
        <v>4368</v>
      </c>
      <c r="H91" s="520"/>
      <c r="I91" s="521"/>
      <c r="J91" s="520"/>
      <c r="AW91" s="1393" t="s">
        <v>2132</v>
      </c>
      <c r="AX91" s="1394" t="s">
        <v>2086</v>
      </c>
      <c r="AY91" s="1396" t="s">
        <v>2151</v>
      </c>
      <c r="AZ91" s="1394">
        <v>810</v>
      </c>
      <c r="BA91" s="527" t="s">
        <v>2133</v>
      </c>
      <c r="BB91" s="535">
        <v>18.654755648975303</v>
      </c>
      <c r="BC91" s="534" t="s">
        <v>2006</v>
      </c>
      <c r="BD91" s="536"/>
      <c r="BE91" s="536"/>
      <c r="BF91" s="534"/>
      <c r="BG91" s="536"/>
      <c r="BH91" s="537">
        <f t="shared" si="43"/>
        <v>23.2</v>
      </c>
      <c r="BI91" s="537">
        <f t="shared" si="44"/>
        <v>3.9</v>
      </c>
      <c r="BJ91" s="537">
        <f t="shared" si="45"/>
        <v>33.9</v>
      </c>
      <c r="BK91" s="537">
        <f t="shared" si="46"/>
        <v>6.2</v>
      </c>
      <c r="BL91" s="537">
        <f t="shared" si="47"/>
        <v>9.5</v>
      </c>
      <c r="BM91" s="537">
        <f t="shared" si="48"/>
        <v>5.6</v>
      </c>
      <c r="BN91" s="537">
        <f t="shared" si="49"/>
        <v>8.5</v>
      </c>
      <c r="BO91" s="537">
        <f t="shared" si="50"/>
        <v>9.2000000000000028</v>
      </c>
      <c r="BP91" s="537">
        <f t="shared" si="42"/>
        <v>100</v>
      </c>
      <c r="BQ91" s="534" t="s">
        <v>1979</v>
      </c>
      <c r="BR91" s="556">
        <v>8.8539999999999994E-2</v>
      </c>
      <c r="BS91" s="556">
        <v>8.8539999999999994E-2</v>
      </c>
      <c r="BT91" s="556">
        <v>1.719E-2</v>
      </c>
      <c r="BU91" s="556">
        <v>7.3859999999999995E-2</v>
      </c>
      <c r="BV91" s="556">
        <v>4.929E-2</v>
      </c>
      <c r="BW91" s="557" t="s">
        <v>2275</v>
      </c>
      <c r="BX91" s="534" t="s">
        <v>2276</v>
      </c>
      <c r="DH91" s="539" t="str">
        <f t="shared" si="39"/>
        <v>Canada-Saskatchewan (SK)</v>
      </c>
      <c r="DI91" s="539" t="str">
        <f t="shared" si="40"/>
        <v>Americas</v>
      </c>
      <c r="DJ91" s="539" t="str">
        <f t="shared" si="41"/>
        <v>North America</v>
      </c>
      <c r="DL91" s="539" t="s">
        <v>35</v>
      </c>
      <c r="DN91" s="539" t="s">
        <v>2439</v>
      </c>
      <c r="DO91" s="539" t="s">
        <v>2440</v>
      </c>
    </row>
    <row r="92" spans="3:119" ht="25.5">
      <c r="C92" s="463" t="s">
        <v>2449</v>
      </c>
      <c r="D92" s="519"/>
      <c r="E92" s="731">
        <v>2397</v>
      </c>
      <c r="F92" s="520" t="s">
        <v>2079</v>
      </c>
      <c r="G92" s="521" t="s">
        <v>4368</v>
      </c>
      <c r="H92" s="520"/>
      <c r="I92" s="521"/>
      <c r="J92" s="520"/>
      <c r="AW92" s="1393" t="s">
        <v>2137</v>
      </c>
      <c r="AX92" s="1394" t="s">
        <v>2086</v>
      </c>
      <c r="AY92" s="1396" t="s">
        <v>2151</v>
      </c>
      <c r="AZ92" s="1394">
        <v>1020</v>
      </c>
      <c r="BA92" s="527" t="s">
        <v>2133</v>
      </c>
      <c r="BB92" s="535">
        <v>6.2171813834411278</v>
      </c>
      <c r="BC92" s="534" t="s">
        <v>2062</v>
      </c>
      <c r="BD92" s="536"/>
      <c r="BE92" s="536"/>
      <c r="BF92" s="534"/>
      <c r="BG92" s="536"/>
      <c r="BH92" s="537">
        <f t="shared" si="43"/>
        <v>23.2</v>
      </c>
      <c r="BI92" s="537">
        <f t="shared" si="44"/>
        <v>3.9</v>
      </c>
      <c r="BJ92" s="537">
        <f t="shared" si="45"/>
        <v>33.9</v>
      </c>
      <c r="BK92" s="537">
        <f t="shared" si="46"/>
        <v>6.2</v>
      </c>
      <c r="BL92" s="537">
        <f t="shared" si="47"/>
        <v>9.5</v>
      </c>
      <c r="BM92" s="537">
        <f t="shared" si="48"/>
        <v>5.6</v>
      </c>
      <c r="BN92" s="537">
        <f t="shared" si="49"/>
        <v>8.5</v>
      </c>
      <c r="BO92" s="537">
        <f t="shared" si="50"/>
        <v>9.2000000000000028</v>
      </c>
      <c r="BP92" s="537">
        <f t="shared" si="42"/>
        <v>100</v>
      </c>
      <c r="BQ92" s="534" t="s">
        <v>1979</v>
      </c>
      <c r="BR92" s="556">
        <v>8.8539999999999994E-2</v>
      </c>
      <c r="BS92" s="556">
        <v>8.8539999999999994E-2</v>
      </c>
      <c r="BT92" s="556">
        <v>1.719E-2</v>
      </c>
      <c r="BU92" s="556">
        <v>7.3859999999999995E-2</v>
      </c>
      <c r="BV92" s="556">
        <v>4.929E-2</v>
      </c>
      <c r="BW92" s="557" t="s">
        <v>2275</v>
      </c>
      <c r="BX92" s="534" t="s">
        <v>2276</v>
      </c>
      <c r="DH92" s="539" t="str">
        <f t="shared" si="39"/>
        <v>Canada-Yukon Territory (YT)</v>
      </c>
      <c r="DI92" s="539" t="str">
        <f t="shared" si="40"/>
        <v>Americas</v>
      </c>
      <c r="DJ92" s="539" t="str">
        <f t="shared" si="41"/>
        <v>North America</v>
      </c>
      <c r="DL92" s="539" t="s">
        <v>35</v>
      </c>
      <c r="DN92" s="539" t="s">
        <v>2443</v>
      </c>
      <c r="DO92" s="539" t="s">
        <v>2444</v>
      </c>
    </row>
    <row r="93" spans="3:119" ht="25.5">
      <c r="C93" s="463" t="s">
        <v>2453</v>
      </c>
      <c r="D93" s="519"/>
      <c r="E93" s="731">
        <v>4061</v>
      </c>
      <c r="F93" s="520" t="s">
        <v>2079</v>
      </c>
      <c r="G93" s="521" t="s">
        <v>4368</v>
      </c>
      <c r="H93" s="520"/>
      <c r="I93" s="521"/>
      <c r="J93" s="520"/>
      <c r="AW93" s="1393" t="s">
        <v>2142</v>
      </c>
      <c r="AX93" s="1394" t="s">
        <v>2086</v>
      </c>
      <c r="AY93" s="1396" t="s">
        <v>2151</v>
      </c>
      <c r="AZ93" s="1396">
        <v>410.550201528</v>
      </c>
      <c r="BA93" s="527" t="s">
        <v>4367</v>
      </c>
      <c r="BB93" s="535">
        <v>5.4123414965002699</v>
      </c>
      <c r="BC93" s="534" t="s">
        <v>2049</v>
      </c>
      <c r="BD93" s="536"/>
      <c r="BE93" s="536"/>
      <c r="BF93" s="534"/>
      <c r="BG93" s="536"/>
      <c r="BH93" s="537">
        <f t="shared" si="43"/>
        <v>23.2</v>
      </c>
      <c r="BI93" s="537">
        <f t="shared" si="44"/>
        <v>3.9</v>
      </c>
      <c r="BJ93" s="537">
        <f t="shared" si="45"/>
        <v>33.9</v>
      </c>
      <c r="BK93" s="537">
        <f t="shared" si="46"/>
        <v>6.2</v>
      </c>
      <c r="BL93" s="537">
        <f t="shared" si="47"/>
        <v>9.5</v>
      </c>
      <c r="BM93" s="537">
        <f t="shared" si="48"/>
        <v>5.6</v>
      </c>
      <c r="BN93" s="537">
        <f t="shared" si="49"/>
        <v>8.5</v>
      </c>
      <c r="BO93" s="537">
        <f t="shared" si="50"/>
        <v>9.2000000000000028</v>
      </c>
      <c r="BP93" s="537">
        <f t="shared" si="42"/>
        <v>100</v>
      </c>
      <c r="BQ93" s="534" t="s">
        <v>1979</v>
      </c>
      <c r="BR93" s="556">
        <v>8.8539999999999994E-2</v>
      </c>
      <c r="BS93" s="556">
        <v>8.8539999999999994E-2</v>
      </c>
      <c r="BT93" s="556">
        <v>1.719E-2</v>
      </c>
      <c r="BU93" s="556">
        <v>7.3859999999999995E-2</v>
      </c>
      <c r="BV93" s="556">
        <v>4.929E-2</v>
      </c>
      <c r="BW93" s="557" t="s">
        <v>2275</v>
      </c>
      <c r="BX93" s="534" t="s">
        <v>2276</v>
      </c>
      <c r="DH93" s="539" t="str">
        <f t="shared" si="39"/>
        <v>US-AKGD (ASCC Alaska Grid)</v>
      </c>
      <c r="DI93" s="539" t="str">
        <f t="shared" si="40"/>
        <v>Americas</v>
      </c>
      <c r="DJ93" s="539" t="str">
        <f t="shared" si="41"/>
        <v>North America</v>
      </c>
      <c r="DL93" s="539" t="s">
        <v>35</v>
      </c>
      <c r="DN93" s="539" t="s">
        <v>2447</v>
      </c>
      <c r="DO93" s="539" t="s">
        <v>2448</v>
      </c>
    </row>
    <row r="94" spans="3:119">
      <c r="C94" s="463" t="s">
        <v>2456</v>
      </c>
      <c r="D94" s="519"/>
      <c r="E94" s="731">
        <v>16</v>
      </c>
      <c r="F94" s="520" t="s">
        <v>2079</v>
      </c>
      <c r="G94" s="521" t="s">
        <v>4368</v>
      </c>
      <c r="H94" s="520"/>
      <c r="I94" s="521"/>
      <c r="J94" s="520"/>
      <c r="AW94" s="1393" t="s">
        <v>1763</v>
      </c>
      <c r="AX94" s="1394" t="s">
        <v>2086</v>
      </c>
      <c r="AY94" s="1396" t="s">
        <v>2151</v>
      </c>
      <c r="AZ94" s="1396">
        <v>236.95646079999997</v>
      </c>
      <c r="BA94" s="527" t="s">
        <v>4367</v>
      </c>
      <c r="BB94" s="535">
        <v>4.0708432461009778</v>
      </c>
      <c r="BC94" s="534" t="s">
        <v>2006</v>
      </c>
      <c r="BD94" s="536"/>
      <c r="BE94" s="536"/>
      <c r="BF94" s="534"/>
      <c r="BG94" s="536"/>
      <c r="BH94" s="537">
        <f t="shared" si="43"/>
        <v>23.2</v>
      </c>
      <c r="BI94" s="537">
        <f t="shared" si="44"/>
        <v>3.9</v>
      </c>
      <c r="BJ94" s="537">
        <f t="shared" si="45"/>
        <v>33.9</v>
      </c>
      <c r="BK94" s="537">
        <f t="shared" si="46"/>
        <v>6.2</v>
      </c>
      <c r="BL94" s="537">
        <f t="shared" si="47"/>
        <v>9.5</v>
      </c>
      <c r="BM94" s="537">
        <f t="shared" si="48"/>
        <v>5.6</v>
      </c>
      <c r="BN94" s="537">
        <f t="shared" si="49"/>
        <v>8.5</v>
      </c>
      <c r="BO94" s="537">
        <f t="shared" si="50"/>
        <v>9.2000000000000028</v>
      </c>
      <c r="BP94" s="537">
        <f t="shared" si="42"/>
        <v>100</v>
      </c>
      <c r="BQ94" s="534" t="s">
        <v>1979</v>
      </c>
      <c r="BR94" s="556">
        <v>8.8539999999999994E-2</v>
      </c>
      <c r="BS94" s="556">
        <v>8.8539999999999994E-2</v>
      </c>
      <c r="BT94" s="556">
        <v>1.719E-2</v>
      </c>
      <c r="BU94" s="556">
        <v>7.3859999999999995E-2</v>
      </c>
      <c r="BV94" s="556">
        <v>4.929E-2</v>
      </c>
      <c r="BW94" s="557" t="s">
        <v>2275</v>
      </c>
      <c r="BX94" s="534" t="s">
        <v>2276</v>
      </c>
      <c r="DH94" s="539" t="str">
        <f t="shared" si="39"/>
        <v>US-AKMS (ASCC Miscellaneous)</v>
      </c>
      <c r="DI94" s="539" t="str">
        <f t="shared" si="40"/>
        <v>Americas</v>
      </c>
      <c r="DJ94" s="539" t="str">
        <f t="shared" si="41"/>
        <v>North America</v>
      </c>
      <c r="DK94" s="539" t="e">
        <f>VLOOKUP(DH94,#REF!,1)</f>
        <v>#REF!</v>
      </c>
      <c r="DL94" s="539" t="e">
        <f>VLOOKUP(DK94,#REF!,2,FALSE)</f>
        <v>#REF!</v>
      </c>
      <c r="DN94" s="539" t="s">
        <v>2451</v>
      </c>
      <c r="DO94" s="539" t="s">
        <v>2452</v>
      </c>
    </row>
    <row r="95" spans="3:119">
      <c r="C95" s="463" t="s">
        <v>2460</v>
      </c>
      <c r="D95" s="519"/>
      <c r="E95" s="731">
        <v>116</v>
      </c>
      <c r="F95" s="520" t="s">
        <v>2079</v>
      </c>
      <c r="G95" s="521" t="s">
        <v>4368</v>
      </c>
      <c r="H95" s="520"/>
      <c r="I95" s="521"/>
      <c r="J95" s="520"/>
      <c r="AW95" s="1393" t="s">
        <v>2150</v>
      </c>
      <c r="AX95" s="1394" t="s">
        <v>2086</v>
      </c>
      <c r="AY95" s="1396" t="s">
        <v>2151</v>
      </c>
      <c r="AZ95" s="1396">
        <v>320.321680888</v>
      </c>
      <c r="BA95" s="527" t="s">
        <v>4367</v>
      </c>
      <c r="BB95" s="535">
        <v>6.3423893657789874</v>
      </c>
      <c r="BC95" s="534" t="s">
        <v>2006</v>
      </c>
      <c r="BD95" s="548">
        <v>7.4999999999999997E-2</v>
      </c>
      <c r="BE95" s="548">
        <v>7.4999999999999997E-2</v>
      </c>
      <c r="BF95" s="534" t="s">
        <v>2179</v>
      </c>
      <c r="BG95" s="536"/>
      <c r="BH95" s="537">
        <f t="shared" si="43"/>
        <v>23.2</v>
      </c>
      <c r="BI95" s="537">
        <f t="shared" si="44"/>
        <v>3.9</v>
      </c>
      <c r="BJ95" s="537">
        <f t="shared" si="45"/>
        <v>33.9</v>
      </c>
      <c r="BK95" s="537">
        <f t="shared" si="46"/>
        <v>6.2</v>
      </c>
      <c r="BL95" s="537">
        <f t="shared" si="47"/>
        <v>9.5</v>
      </c>
      <c r="BM95" s="537">
        <f t="shared" si="48"/>
        <v>5.6</v>
      </c>
      <c r="BN95" s="537">
        <f t="shared" si="49"/>
        <v>8.5</v>
      </c>
      <c r="BO95" s="537">
        <f t="shared" si="50"/>
        <v>9.2000000000000028</v>
      </c>
      <c r="BP95" s="537">
        <f t="shared" si="42"/>
        <v>100</v>
      </c>
      <c r="BQ95" s="534" t="s">
        <v>1979</v>
      </c>
      <c r="BR95" s="556">
        <v>8.8539999999999994E-2</v>
      </c>
      <c r="BS95" s="556">
        <v>8.8539999999999994E-2</v>
      </c>
      <c r="BT95" s="556">
        <v>1.719E-2</v>
      </c>
      <c r="BU95" s="556">
        <v>7.3859999999999995E-2</v>
      </c>
      <c r="BV95" s="556">
        <v>4.929E-2</v>
      </c>
      <c r="BW95" s="557" t="s">
        <v>2275</v>
      </c>
      <c r="BX95" s="534" t="s">
        <v>2276</v>
      </c>
      <c r="DH95" s="539" t="str">
        <f t="shared" si="39"/>
        <v>US-AZNM (WECC Southwest)</v>
      </c>
      <c r="DI95" s="539" t="str">
        <f t="shared" si="40"/>
        <v>Americas</v>
      </c>
      <c r="DJ95" s="539" t="str">
        <f t="shared" si="41"/>
        <v>North America</v>
      </c>
      <c r="DK95" s="539" t="e">
        <f>VLOOKUP(DH95,#REF!,1)</f>
        <v>#REF!</v>
      </c>
      <c r="DL95" s="539" t="e">
        <f>VLOOKUP(DK95,#REF!,2,FALSE)</f>
        <v>#REF!</v>
      </c>
      <c r="DN95" s="539" t="s">
        <v>2454</v>
      </c>
      <c r="DO95" s="539" t="s">
        <v>2455</v>
      </c>
    </row>
    <row r="96" spans="3:119" ht="25.5">
      <c r="C96" s="463" t="s">
        <v>2464</v>
      </c>
      <c r="D96" s="519"/>
      <c r="E96" s="731">
        <v>44</v>
      </c>
      <c r="F96" s="520" t="s">
        <v>2079</v>
      </c>
      <c r="G96" s="521" t="s">
        <v>4368</v>
      </c>
      <c r="H96" s="520"/>
      <c r="I96" s="521"/>
      <c r="J96" s="520"/>
      <c r="AW96" s="1393" t="s">
        <v>2154</v>
      </c>
      <c r="AX96" s="1394" t="s">
        <v>2086</v>
      </c>
      <c r="AY96" s="1396" t="s">
        <v>2151</v>
      </c>
      <c r="AZ96" s="1396">
        <v>195.03684893600001</v>
      </c>
      <c r="BA96" s="527" t="s">
        <v>4367</v>
      </c>
      <c r="BB96" s="535">
        <v>15.618667277425265</v>
      </c>
      <c r="BC96" s="534" t="s">
        <v>2218</v>
      </c>
      <c r="BD96" s="536"/>
      <c r="BE96" s="536"/>
      <c r="BF96" s="534"/>
      <c r="BG96" s="536"/>
      <c r="BH96" s="537">
        <f t="shared" si="43"/>
        <v>23.2</v>
      </c>
      <c r="BI96" s="537">
        <f t="shared" si="44"/>
        <v>3.9</v>
      </c>
      <c r="BJ96" s="537">
        <f t="shared" si="45"/>
        <v>33.9</v>
      </c>
      <c r="BK96" s="537">
        <f t="shared" si="46"/>
        <v>6.2</v>
      </c>
      <c r="BL96" s="537">
        <f t="shared" si="47"/>
        <v>9.5</v>
      </c>
      <c r="BM96" s="537">
        <f t="shared" si="48"/>
        <v>5.6</v>
      </c>
      <c r="BN96" s="537">
        <f t="shared" si="49"/>
        <v>8.5</v>
      </c>
      <c r="BO96" s="537">
        <f t="shared" si="50"/>
        <v>9.2000000000000028</v>
      </c>
      <c r="BP96" s="537">
        <f t="shared" si="42"/>
        <v>100</v>
      </c>
      <c r="BQ96" s="534" t="s">
        <v>1979</v>
      </c>
      <c r="BR96" s="556">
        <v>8.8539999999999994E-2</v>
      </c>
      <c r="BS96" s="556">
        <v>8.8539999999999994E-2</v>
      </c>
      <c r="BT96" s="556">
        <v>1.719E-2</v>
      </c>
      <c r="BU96" s="556">
        <v>7.3859999999999995E-2</v>
      </c>
      <c r="BV96" s="556">
        <v>4.929E-2</v>
      </c>
      <c r="BW96" s="557" t="s">
        <v>2275</v>
      </c>
      <c r="BX96" s="534" t="s">
        <v>2276</v>
      </c>
      <c r="DH96" s="539" t="str">
        <f t="shared" si="39"/>
        <v>US-CAMX (WECC California)</v>
      </c>
      <c r="DI96" s="539" t="str">
        <f t="shared" si="40"/>
        <v>Americas</v>
      </c>
      <c r="DJ96" s="539" t="str">
        <f t="shared" si="41"/>
        <v>North America</v>
      </c>
      <c r="DL96" s="539" t="s">
        <v>35</v>
      </c>
      <c r="DN96" s="539" t="s">
        <v>2458</v>
      </c>
      <c r="DO96" s="539" t="s">
        <v>2459</v>
      </c>
    </row>
    <row r="97" spans="3:119" ht="25.5">
      <c r="C97" s="463" t="s">
        <v>2473</v>
      </c>
      <c r="D97" s="519"/>
      <c r="E97" s="731">
        <v>3654</v>
      </c>
      <c r="F97" s="520" t="s">
        <v>2079</v>
      </c>
      <c r="G97" s="521" t="s">
        <v>4368</v>
      </c>
      <c r="H97" s="520"/>
      <c r="I97" s="521"/>
      <c r="J97" s="520"/>
      <c r="AW97" s="1393" t="s">
        <v>2161</v>
      </c>
      <c r="AX97" s="1394" t="s">
        <v>2086</v>
      </c>
      <c r="AY97" s="1396" t="s">
        <v>2151</v>
      </c>
      <c r="AZ97" s="1396">
        <v>334.129021368</v>
      </c>
      <c r="BA97" s="527" t="s">
        <v>4367</v>
      </c>
      <c r="BB97" s="535">
        <v>5.4123414965002699</v>
      </c>
      <c r="BC97" s="534" t="s">
        <v>2049</v>
      </c>
      <c r="BD97" s="536"/>
      <c r="BE97" s="536"/>
      <c r="BF97" s="534"/>
      <c r="BG97" s="536"/>
      <c r="BH97" s="537">
        <f t="shared" si="43"/>
        <v>23.2</v>
      </c>
      <c r="BI97" s="537">
        <f t="shared" si="44"/>
        <v>3.9</v>
      </c>
      <c r="BJ97" s="537">
        <f t="shared" si="45"/>
        <v>33.9</v>
      </c>
      <c r="BK97" s="537">
        <f t="shared" si="46"/>
        <v>6.2</v>
      </c>
      <c r="BL97" s="537">
        <f t="shared" si="47"/>
        <v>9.5</v>
      </c>
      <c r="BM97" s="537">
        <f t="shared" si="48"/>
        <v>5.6</v>
      </c>
      <c r="BN97" s="537">
        <f t="shared" si="49"/>
        <v>8.5</v>
      </c>
      <c r="BO97" s="537">
        <f t="shared" si="50"/>
        <v>9.2000000000000028</v>
      </c>
      <c r="BP97" s="537">
        <f t="shared" si="42"/>
        <v>100</v>
      </c>
      <c r="BQ97" s="534" t="s">
        <v>1979</v>
      </c>
      <c r="BR97" s="556">
        <v>8.8539999999999994E-2</v>
      </c>
      <c r="BS97" s="556">
        <v>8.8539999999999994E-2</v>
      </c>
      <c r="BT97" s="556">
        <v>1.719E-2</v>
      </c>
      <c r="BU97" s="556">
        <v>7.3859999999999995E-2</v>
      </c>
      <c r="BV97" s="556">
        <v>4.929E-2</v>
      </c>
      <c r="BW97" s="557" t="s">
        <v>2275</v>
      </c>
      <c r="BX97" s="534" t="s">
        <v>2276</v>
      </c>
      <c r="DH97" s="539" t="str">
        <f t="shared" si="39"/>
        <v>US-ERCT (ERCOT All)</v>
      </c>
      <c r="DI97" s="539" t="str">
        <f t="shared" si="40"/>
        <v>Americas</v>
      </c>
      <c r="DJ97" s="539" t="str">
        <f t="shared" si="41"/>
        <v>North America</v>
      </c>
      <c r="DL97" s="539" t="s">
        <v>35</v>
      </c>
      <c r="DN97" s="539" t="s">
        <v>2462</v>
      </c>
      <c r="DO97" s="539" t="s">
        <v>2463</v>
      </c>
    </row>
    <row r="98" spans="3:119">
      <c r="C98" s="463" t="s">
        <v>2476</v>
      </c>
      <c r="D98" s="519"/>
      <c r="E98" s="731">
        <v>31</v>
      </c>
      <c r="F98" s="520" t="s">
        <v>2079</v>
      </c>
      <c r="G98" s="521" t="s">
        <v>4368</v>
      </c>
      <c r="H98" s="520"/>
      <c r="I98" s="521"/>
      <c r="J98" s="520"/>
      <c r="AW98" s="1393" t="s">
        <v>2166</v>
      </c>
      <c r="AX98" s="1394" t="s">
        <v>2086</v>
      </c>
      <c r="AY98" s="1396" t="s">
        <v>2151</v>
      </c>
      <c r="AZ98" s="1396">
        <v>355.97219772</v>
      </c>
      <c r="BA98" s="527" t="s">
        <v>4367</v>
      </c>
      <c r="BB98" s="535">
        <v>27.777777777777779</v>
      </c>
      <c r="BC98" s="534" t="s">
        <v>2006</v>
      </c>
      <c r="BD98" s="536"/>
      <c r="BE98" s="536"/>
      <c r="BF98" s="534"/>
      <c r="BG98" s="536"/>
      <c r="BH98" s="537">
        <f t="shared" si="43"/>
        <v>23.2</v>
      </c>
      <c r="BI98" s="537">
        <f t="shared" si="44"/>
        <v>3.9</v>
      </c>
      <c r="BJ98" s="537">
        <f t="shared" si="45"/>
        <v>33.9</v>
      </c>
      <c r="BK98" s="537">
        <f t="shared" si="46"/>
        <v>6.2</v>
      </c>
      <c r="BL98" s="537">
        <f t="shared" si="47"/>
        <v>9.5</v>
      </c>
      <c r="BM98" s="537">
        <f t="shared" si="48"/>
        <v>5.6</v>
      </c>
      <c r="BN98" s="537">
        <f t="shared" si="49"/>
        <v>8.5</v>
      </c>
      <c r="BO98" s="537">
        <f t="shared" si="50"/>
        <v>9.2000000000000028</v>
      </c>
      <c r="BP98" s="537">
        <f t="shared" si="42"/>
        <v>100</v>
      </c>
      <c r="BQ98" s="534" t="s">
        <v>1979</v>
      </c>
      <c r="BR98" s="556">
        <v>8.8539999999999994E-2</v>
      </c>
      <c r="BS98" s="556">
        <v>8.8539999999999994E-2</v>
      </c>
      <c r="BT98" s="556">
        <v>1.719E-2</v>
      </c>
      <c r="BU98" s="556">
        <v>7.3859999999999995E-2</v>
      </c>
      <c r="BV98" s="556">
        <v>4.929E-2</v>
      </c>
      <c r="BW98" s="557" t="s">
        <v>2275</v>
      </c>
      <c r="BX98" s="534" t="s">
        <v>2276</v>
      </c>
      <c r="DH98" s="539" t="str">
        <f t="shared" si="39"/>
        <v>US-FRCC (FRCC All)</v>
      </c>
      <c r="DI98" s="539" t="str">
        <f t="shared" si="40"/>
        <v>Americas</v>
      </c>
      <c r="DJ98" s="539" t="str">
        <f t="shared" si="41"/>
        <v>North America</v>
      </c>
      <c r="DL98" s="539" t="s">
        <v>35</v>
      </c>
      <c r="DN98" s="539" t="s">
        <v>2466</v>
      </c>
      <c r="DO98" s="539" t="s">
        <v>2467</v>
      </c>
    </row>
    <row r="99" spans="3:119" ht="25.5">
      <c r="C99" s="463" t="s">
        <v>2487</v>
      </c>
      <c r="D99" s="519"/>
      <c r="E99" s="731">
        <v>1930</v>
      </c>
      <c r="F99" s="520" t="s">
        <v>2079</v>
      </c>
      <c r="G99" s="521" t="s">
        <v>4368</v>
      </c>
      <c r="H99" s="520"/>
      <c r="I99" s="521"/>
      <c r="J99" s="520"/>
      <c r="AW99" s="1393" t="s">
        <v>2172</v>
      </c>
      <c r="AX99" s="1394" t="s">
        <v>2086</v>
      </c>
      <c r="AY99" s="1396" t="s">
        <v>2151</v>
      </c>
      <c r="AZ99" s="1396">
        <v>514.05309204800005</v>
      </c>
      <c r="BA99" s="527" t="s">
        <v>4367</v>
      </c>
      <c r="BB99" s="535">
        <v>13.490630673342661</v>
      </c>
      <c r="BC99" s="534" t="s">
        <v>2223</v>
      </c>
      <c r="BD99" s="536"/>
      <c r="BE99" s="536"/>
      <c r="BF99" s="534"/>
      <c r="BG99" s="536"/>
      <c r="BH99" s="537">
        <f t="shared" si="43"/>
        <v>23.2</v>
      </c>
      <c r="BI99" s="537">
        <f t="shared" si="44"/>
        <v>3.9</v>
      </c>
      <c r="BJ99" s="537">
        <f t="shared" si="45"/>
        <v>33.9</v>
      </c>
      <c r="BK99" s="537">
        <f t="shared" si="46"/>
        <v>6.2</v>
      </c>
      <c r="BL99" s="537">
        <f t="shared" si="47"/>
        <v>9.5</v>
      </c>
      <c r="BM99" s="537">
        <f t="shared" si="48"/>
        <v>5.6</v>
      </c>
      <c r="BN99" s="537">
        <f t="shared" si="49"/>
        <v>8.5</v>
      </c>
      <c r="BO99" s="537">
        <f t="shared" si="50"/>
        <v>9.2000000000000028</v>
      </c>
      <c r="BP99" s="537">
        <f t="shared" si="42"/>
        <v>100</v>
      </c>
      <c r="BQ99" s="534" t="s">
        <v>1979</v>
      </c>
      <c r="BR99" s="556">
        <v>8.8539999999999994E-2</v>
      </c>
      <c r="BS99" s="556">
        <v>8.8539999999999994E-2</v>
      </c>
      <c r="BT99" s="556">
        <v>1.719E-2</v>
      </c>
      <c r="BU99" s="556">
        <v>7.3859999999999995E-2</v>
      </c>
      <c r="BV99" s="556">
        <v>4.929E-2</v>
      </c>
      <c r="BW99" s="557" t="s">
        <v>2275</v>
      </c>
      <c r="BX99" s="534" t="s">
        <v>2276</v>
      </c>
      <c r="DH99" s="539" t="str">
        <f t="shared" ref="DH99:DH106" si="51">AW99</f>
        <v>US-HIMS (HICC Miscellaneous)</v>
      </c>
      <c r="DI99" s="539" t="str">
        <f t="shared" ref="DI99:DI106" si="52">AX99</f>
        <v>Americas</v>
      </c>
      <c r="DJ99" s="539" t="str">
        <f t="shared" ref="DJ99:DJ106" si="53">AY99</f>
        <v>North America</v>
      </c>
      <c r="DL99" s="539" t="s">
        <v>35</v>
      </c>
      <c r="DN99" s="539" t="s">
        <v>2469</v>
      </c>
      <c r="DO99" s="539" t="s">
        <v>2470</v>
      </c>
    </row>
    <row r="100" spans="3:119">
      <c r="C100" s="463" t="s">
        <v>2491</v>
      </c>
      <c r="D100" s="519"/>
      <c r="E100" s="731">
        <v>2425</v>
      </c>
      <c r="F100" s="520" t="s">
        <v>2079</v>
      </c>
      <c r="G100" s="521" t="s">
        <v>4368</v>
      </c>
      <c r="H100" s="520"/>
      <c r="I100" s="521"/>
      <c r="J100" s="520"/>
      <c r="AW100" s="1393" t="s">
        <v>2177</v>
      </c>
      <c r="AX100" s="1395" t="s">
        <v>2086</v>
      </c>
      <c r="AY100" s="1396" t="s">
        <v>2151</v>
      </c>
      <c r="AZ100" s="1396">
        <v>679.91036762399995</v>
      </c>
      <c r="BA100" s="527" t="s">
        <v>4367</v>
      </c>
      <c r="BB100" s="535">
        <v>5.7853630315302285</v>
      </c>
      <c r="BC100" s="534" t="s">
        <v>2006</v>
      </c>
      <c r="BD100" s="536"/>
      <c r="BE100" s="536"/>
      <c r="BF100" s="534"/>
      <c r="BG100" s="536"/>
      <c r="BH100" s="537">
        <f t="shared" si="43"/>
        <v>23.2</v>
      </c>
      <c r="BI100" s="537">
        <f t="shared" si="44"/>
        <v>3.9</v>
      </c>
      <c r="BJ100" s="537">
        <f t="shared" si="45"/>
        <v>33.9</v>
      </c>
      <c r="BK100" s="537">
        <f t="shared" si="46"/>
        <v>6.2</v>
      </c>
      <c r="BL100" s="537">
        <f t="shared" si="47"/>
        <v>9.5</v>
      </c>
      <c r="BM100" s="537">
        <f t="shared" si="48"/>
        <v>5.6</v>
      </c>
      <c r="BN100" s="537">
        <f t="shared" si="49"/>
        <v>8.5</v>
      </c>
      <c r="BO100" s="537">
        <f t="shared" si="50"/>
        <v>9.2000000000000028</v>
      </c>
      <c r="BP100" s="537">
        <f t="shared" si="42"/>
        <v>100</v>
      </c>
      <c r="BQ100" s="534" t="s">
        <v>1979</v>
      </c>
      <c r="BR100" s="556">
        <v>8.8539999999999994E-2</v>
      </c>
      <c r="BS100" s="556">
        <v>8.8539999999999994E-2</v>
      </c>
      <c r="BT100" s="556">
        <v>1.719E-2</v>
      </c>
      <c r="BU100" s="556">
        <v>7.3859999999999995E-2</v>
      </c>
      <c r="BV100" s="556">
        <v>4.929E-2</v>
      </c>
      <c r="BW100" s="557" t="s">
        <v>2275</v>
      </c>
      <c r="BX100" s="534" t="s">
        <v>2276</v>
      </c>
      <c r="DH100" s="539" t="str">
        <f t="shared" si="51"/>
        <v>US-HIOA (HICC Oahu)</v>
      </c>
      <c r="DI100" s="539" t="str">
        <f t="shared" si="52"/>
        <v>Americas</v>
      </c>
      <c r="DJ100" s="539" t="str">
        <f t="shared" si="53"/>
        <v>North America</v>
      </c>
      <c r="DL100" s="539" t="s">
        <v>35</v>
      </c>
      <c r="DN100" s="539" t="s">
        <v>2471</v>
      </c>
      <c r="DO100" s="539" t="s">
        <v>2472</v>
      </c>
    </row>
    <row r="101" spans="3:119">
      <c r="C101" s="463" t="s">
        <v>2495</v>
      </c>
      <c r="D101" s="519"/>
      <c r="E101" s="731">
        <v>2143</v>
      </c>
      <c r="F101" s="520" t="s">
        <v>2079</v>
      </c>
      <c r="G101" s="521" t="s">
        <v>4368</v>
      </c>
      <c r="H101" s="520"/>
      <c r="I101" s="521"/>
      <c r="J101" s="520"/>
      <c r="AW101" s="1393" t="s">
        <v>2183</v>
      </c>
      <c r="AX101" s="1395" t="s">
        <v>2086</v>
      </c>
      <c r="AY101" s="1396" t="s">
        <v>2151</v>
      </c>
      <c r="AZ101" s="1396">
        <v>637.27997709599993</v>
      </c>
      <c r="BA101" s="527" t="s">
        <v>4367</v>
      </c>
      <c r="BB101" s="535">
        <v>3.8844707993401268</v>
      </c>
      <c r="BC101" s="534" t="s">
        <v>2006</v>
      </c>
      <c r="BD101" s="548">
        <v>0.04</v>
      </c>
      <c r="BE101" s="548">
        <v>0.03</v>
      </c>
      <c r="BF101" s="534" t="s">
        <v>2179</v>
      </c>
      <c r="BG101" s="536"/>
      <c r="BH101" s="537">
        <f t="shared" si="43"/>
        <v>23.2</v>
      </c>
      <c r="BI101" s="537">
        <f t="shared" si="44"/>
        <v>3.9</v>
      </c>
      <c r="BJ101" s="537">
        <f t="shared" si="45"/>
        <v>33.9</v>
      </c>
      <c r="BK101" s="537">
        <f t="shared" si="46"/>
        <v>6.2</v>
      </c>
      <c r="BL101" s="537">
        <f t="shared" si="47"/>
        <v>9.5</v>
      </c>
      <c r="BM101" s="537">
        <f t="shared" si="48"/>
        <v>5.6</v>
      </c>
      <c r="BN101" s="537">
        <f t="shared" si="49"/>
        <v>8.5</v>
      </c>
      <c r="BO101" s="537">
        <f t="shared" si="50"/>
        <v>9.2000000000000028</v>
      </c>
      <c r="BP101" s="537">
        <f t="shared" si="42"/>
        <v>100</v>
      </c>
      <c r="BQ101" s="534" t="s">
        <v>1979</v>
      </c>
      <c r="BR101" s="556">
        <v>8.8539999999999994E-2</v>
      </c>
      <c r="BS101" s="556">
        <v>8.8539999999999994E-2</v>
      </c>
      <c r="BT101" s="556">
        <v>1.719E-2</v>
      </c>
      <c r="BU101" s="556">
        <v>7.3859999999999995E-2</v>
      </c>
      <c r="BV101" s="556">
        <v>4.929E-2</v>
      </c>
      <c r="BW101" s="557" t="s">
        <v>2275</v>
      </c>
      <c r="BX101" s="534" t="s">
        <v>2276</v>
      </c>
      <c r="DH101" s="539" t="str">
        <f t="shared" si="51"/>
        <v>US-MROE (MRO East)</v>
      </c>
      <c r="DI101" s="539" t="str">
        <f t="shared" si="52"/>
        <v>Americas</v>
      </c>
      <c r="DJ101" s="539" t="str">
        <f t="shared" si="53"/>
        <v>North America</v>
      </c>
      <c r="DK101" s="539" t="e">
        <f>VLOOKUP(DH101,#REF!,1)</f>
        <v>#REF!</v>
      </c>
      <c r="DL101" s="539" t="e">
        <f>VLOOKUP(DK101,#REF!,2,FALSE)</f>
        <v>#REF!</v>
      </c>
      <c r="DN101" s="539" t="s">
        <v>2474</v>
      </c>
      <c r="DO101" s="539" t="s">
        <v>2475</v>
      </c>
    </row>
    <row r="102" spans="3:119">
      <c r="C102" s="463" t="s">
        <v>2257</v>
      </c>
      <c r="D102" s="519"/>
      <c r="E102" s="731">
        <v>1</v>
      </c>
      <c r="F102" s="520" t="s">
        <v>2079</v>
      </c>
      <c r="G102" s="521" t="s">
        <v>4368</v>
      </c>
      <c r="H102" s="520"/>
      <c r="I102" s="521"/>
      <c r="J102" s="520"/>
      <c r="AW102" s="1393" t="s">
        <v>2189</v>
      </c>
      <c r="AX102" s="1395" t="s">
        <v>2086</v>
      </c>
      <c r="AY102" s="1396" t="s">
        <v>2151</v>
      </c>
      <c r="AZ102" s="1396">
        <v>420.27657478399999</v>
      </c>
      <c r="BA102" s="527" t="s">
        <v>4367</v>
      </c>
      <c r="BB102" s="535">
        <v>22.587364036102752</v>
      </c>
      <c r="BC102" s="534" t="s">
        <v>2006</v>
      </c>
      <c r="BD102" s="536"/>
      <c r="BE102" s="536"/>
      <c r="BF102" s="534"/>
      <c r="BG102" s="536"/>
      <c r="BH102" s="537">
        <f t="shared" si="43"/>
        <v>23.2</v>
      </c>
      <c r="BI102" s="537">
        <f t="shared" si="44"/>
        <v>3.9</v>
      </c>
      <c r="BJ102" s="537">
        <f t="shared" si="45"/>
        <v>33.9</v>
      </c>
      <c r="BK102" s="537">
        <f t="shared" si="46"/>
        <v>6.2</v>
      </c>
      <c r="BL102" s="537">
        <f t="shared" si="47"/>
        <v>9.5</v>
      </c>
      <c r="BM102" s="537">
        <f t="shared" si="48"/>
        <v>5.6</v>
      </c>
      <c r="BN102" s="537">
        <f t="shared" si="49"/>
        <v>8.5</v>
      </c>
      <c r="BO102" s="537">
        <f t="shared" si="50"/>
        <v>9.2000000000000028</v>
      </c>
      <c r="BP102" s="537">
        <f t="shared" si="42"/>
        <v>100</v>
      </c>
      <c r="BQ102" s="534" t="s">
        <v>1979</v>
      </c>
      <c r="BR102" s="556">
        <v>8.8539999999999994E-2</v>
      </c>
      <c r="BS102" s="556">
        <v>8.8539999999999994E-2</v>
      </c>
      <c r="BT102" s="556">
        <v>1.719E-2</v>
      </c>
      <c r="BU102" s="556">
        <v>7.3859999999999995E-2</v>
      </c>
      <c r="BV102" s="556">
        <v>4.929E-2</v>
      </c>
      <c r="BW102" s="557" t="s">
        <v>2275</v>
      </c>
      <c r="BX102" s="534" t="s">
        <v>2276</v>
      </c>
      <c r="DH102" s="539" t="str">
        <f t="shared" si="51"/>
        <v>US-MROW (MRO West)</v>
      </c>
      <c r="DI102" s="539" t="str">
        <f t="shared" si="52"/>
        <v>Americas</v>
      </c>
      <c r="DJ102" s="539" t="str">
        <f t="shared" si="53"/>
        <v>North America</v>
      </c>
      <c r="DL102" s="539" t="s">
        <v>35</v>
      </c>
      <c r="DN102" s="539" t="s">
        <v>2478</v>
      </c>
      <c r="DO102" s="539" t="s">
        <v>2479</v>
      </c>
    </row>
    <row r="103" spans="3:119">
      <c r="C103" s="463" t="s">
        <v>2499</v>
      </c>
      <c r="D103" s="519"/>
      <c r="E103" s="731">
        <v>24</v>
      </c>
      <c r="F103" s="520" t="s">
        <v>2079</v>
      </c>
      <c r="G103" s="521" t="s">
        <v>4368</v>
      </c>
      <c r="H103" s="520"/>
      <c r="I103" s="521"/>
      <c r="J103" s="520"/>
      <c r="AW103" s="1393" t="s">
        <v>2194</v>
      </c>
      <c r="AX103" s="1394" t="s">
        <v>2086</v>
      </c>
      <c r="AY103" s="1396" t="s">
        <v>2151</v>
      </c>
      <c r="AZ103" s="1396">
        <v>246.38119537599999</v>
      </c>
      <c r="BA103" s="527" t="s">
        <v>4367</v>
      </c>
      <c r="BB103" s="535">
        <v>8.2414635599785466</v>
      </c>
      <c r="BC103" s="534" t="s">
        <v>2006</v>
      </c>
      <c r="BD103" s="548">
        <v>7.4999999999999997E-2</v>
      </c>
      <c r="BE103" s="548">
        <v>0.01</v>
      </c>
      <c r="BF103" s="534" t="s">
        <v>2179</v>
      </c>
      <c r="BG103" s="536"/>
      <c r="BH103" s="537">
        <f t="shared" si="43"/>
        <v>23.2</v>
      </c>
      <c r="BI103" s="537">
        <f t="shared" si="44"/>
        <v>3.9</v>
      </c>
      <c r="BJ103" s="537">
        <f t="shared" si="45"/>
        <v>33.9</v>
      </c>
      <c r="BK103" s="537">
        <f t="shared" si="46"/>
        <v>6.2</v>
      </c>
      <c r="BL103" s="537">
        <f t="shared" si="47"/>
        <v>9.5</v>
      </c>
      <c r="BM103" s="537">
        <f t="shared" si="48"/>
        <v>5.6</v>
      </c>
      <c r="BN103" s="537">
        <f t="shared" si="49"/>
        <v>8.5</v>
      </c>
      <c r="BO103" s="537">
        <f t="shared" si="50"/>
        <v>9.2000000000000028</v>
      </c>
      <c r="BP103" s="537">
        <f t="shared" si="42"/>
        <v>100</v>
      </c>
      <c r="BQ103" s="534" t="s">
        <v>1979</v>
      </c>
      <c r="BR103" s="556">
        <v>8.8539999999999994E-2</v>
      </c>
      <c r="BS103" s="556">
        <v>8.8539999999999994E-2</v>
      </c>
      <c r="BT103" s="556">
        <v>1.719E-2</v>
      </c>
      <c r="BU103" s="556">
        <v>7.3859999999999995E-2</v>
      </c>
      <c r="BV103" s="556">
        <v>4.929E-2</v>
      </c>
      <c r="BW103" s="557" t="s">
        <v>2275</v>
      </c>
      <c r="BX103" s="534" t="s">
        <v>2276</v>
      </c>
      <c r="DH103" s="539" t="str">
        <f t="shared" si="51"/>
        <v>US-NEWE (NPCC New England)</v>
      </c>
      <c r="DI103" s="539" t="str">
        <f t="shared" si="52"/>
        <v>Americas</v>
      </c>
      <c r="DJ103" s="539" t="str">
        <f t="shared" si="53"/>
        <v>North America</v>
      </c>
      <c r="DK103" s="539" t="e">
        <f>VLOOKUP(DH103,#REF!,1)</f>
        <v>#REF!</v>
      </c>
      <c r="DL103" s="539" t="e">
        <f>VLOOKUP(DK103,#REF!,2,FALSE)</f>
        <v>#REF!</v>
      </c>
      <c r="DN103" s="539" t="s">
        <v>2481</v>
      </c>
      <c r="DO103" s="539" t="s">
        <v>2482</v>
      </c>
    </row>
    <row r="104" spans="3:119">
      <c r="C104" s="463" t="s">
        <v>2507</v>
      </c>
      <c r="D104" s="519"/>
      <c r="E104" s="731">
        <v>2042</v>
      </c>
      <c r="F104" s="520" t="s">
        <v>2079</v>
      </c>
      <c r="G104" s="521" t="s">
        <v>4368</v>
      </c>
      <c r="H104" s="520"/>
      <c r="I104" s="521"/>
      <c r="J104" s="520"/>
      <c r="AW104" s="1393" t="s">
        <v>2198</v>
      </c>
      <c r="AX104" s="1395" t="s">
        <v>2086</v>
      </c>
      <c r="AY104" s="1396" t="s">
        <v>2151</v>
      </c>
      <c r="AZ104" s="1396">
        <v>288.15202906400003</v>
      </c>
      <c r="BA104" s="527" t="s">
        <v>4367</v>
      </c>
      <c r="BB104" s="551">
        <v>8.2505991847772364</v>
      </c>
      <c r="BC104" s="534" t="s">
        <v>2484</v>
      </c>
      <c r="BD104" s="536"/>
      <c r="BE104" s="536"/>
      <c r="BF104" s="534"/>
      <c r="BG104" s="536"/>
      <c r="BH104" s="537">
        <f t="shared" si="43"/>
        <v>23.2</v>
      </c>
      <c r="BI104" s="537">
        <f t="shared" si="44"/>
        <v>3.9</v>
      </c>
      <c r="BJ104" s="537">
        <f t="shared" si="45"/>
        <v>33.9</v>
      </c>
      <c r="BK104" s="537">
        <f t="shared" si="46"/>
        <v>6.2</v>
      </c>
      <c r="BL104" s="537">
        <f t="shared" si="47"/>
        <v>9.5</v>
      </c>
      <c r="BM104" s="537">
        <f t="shared" si="48"/>
        <v>5.6</v>
      </c>
      <c r="BN104" s="537">
        <f t="shared" si="49"/>
        <v>8.5</v>
      </c>
      <c r="BO104" s="537">
        <f t="shared" si="50"/>
        <v>9.2000000000000028</v>
      </c>
      <c r="BP104" s="537">
        <f t="shared" si="42"/>
        <v>100</v>
      </c>
      <c r="BQ104" s="534" t="s">
        <v>1979</v>
      </c>
      <c r="BR104" s="556">
        <v>8.8539999999999994E-2</v>
      </c>
      <c r="BS104" s="556">
        <v>8.8539999999999994E-2</v>
      </c>
      <c r="BT104" s="556">
        <v>1.719E-2</v>
      </c>
      <c r="BU104" s="556">
        <v>7.3859999999999995E-2</v>
      </c>
      <c r="BV104" s="556">
        <v>4.929E-2</v>
      </c>
      <c r="BW104" s="557" t="s">
        <v>2275</v>
      </c>
      <c r="BX104" s="534" t="s">
        <v>2276</v>
      </c>
      <c r="DH104" s="539" t="str">
        <f t="shared" si="51"/>
        <v>US-NWPP (WECC Northwest)</v>
      </c>
      <c r="DI104" s="539" t="str">
        <f t="shared" si="52"/>
        <v>Americas</v>
      </c>
      <c r="DJ104" s="539" t="str">
        <f t="shared" si="53"/>
        <v>North America</v>
      </c>
      <c r="DL104" s="539" t="s">
        <v>35</v>
      </c>
      <c r="DN104" s="539" t="s">
        <v>2485</v>
      </c>
      <c r="DO104" s="539" t="s">
        <v>2486</v>
      </c>
    </row>
    <row r="105" spans="3:119" ht="25.5">
      <c r="C105" s="463" t="s">
        <v>2514</v>
      </c>
      <c r="D105" s="519"/>
      <c r="E105" s="731">
        <v>101</v>
      </c>
      <c r="F105" s="520" t="s">
        <v>2079</v>
      </c>
      <c r="G105" s="521" t="s">
        <v>4368</v>
      </c>
      <c r="H105" s="520"/>
      <c r="I105" s="521"/>
      <c r="J105" s="520"/>
      <c r="AW105" s="1393" t="s">
        <v>2201</v>
      </c>
      <c r="AX105" s="1395" t="s">
        <v>2086</v>
      </c>
      <c r="AY105" s="1396" t="s">
        <v>2151</v>
      </c>
      <c r="AZ105" s="1396">
        <v>392.69455244800002</v>
      </c>
      <c r="BA105" s="527" t="s">
        <v>4367</v>
      </c>
      <c r="BB105" s="535">
        <v>9.3894684857089938</v>
      </c>
      <c r="BC105" s="534" t="s">
        <v>2087</v>
      </c>
      <c r="BD105" s="536"/>
      <c r="BE105" s="536"/>
      <c r="BF105" s="534"/>
      <c r="BG105" s="536"/>
      <c r="BH105" s="537">
        <f t="shared" si="43"/>
        <v>23.2</v>
      </c>
      <c r="BI105" s="537">
        <f t="shared" si="44"/>
        <v>3.9</v>
      </c>
      <c r="BJ105" s="537">
        <f t="shared" si="45"/>
        <v>33.9</v>
      </c>
      <c r="BK105" s="537">
        <f t="shared" si="46"/>
        <v>6.2</v>
      </c>
      <c r="BL105" s="537">
        <f t="shared" si="47"/>
        <v>9.5</v>
      </c>
      <c r="BM105" s="537">
        <f t="shared" si="48"/>
        <v>5.6</v>
      </c>
      <c r="BN105" s="537">
        <f t="shared" si="49"/>
        <v>8.5</v>
      </c>
      <c r="BO105" s="537">
        <f t="shared" si="50"/>
        <v>9.2000000000000028</v>
      </c>
      <c r="BP105" s="537">
        <f t="shared" si="42"/>
        <v>100</v>
      </c>
      <c r="BQ105" s="534" t="s">
        <v>1979</v>
      </c>
      <c r="BR105" s="556">
        <v>8.8539999999999994E-2</v>
      </c>
      <c r="BS105" s="556">
        <v>8.8539999999999994E-2</v>
      </c>
      <c r="BT105" s="556">
        <v>1.719E-2</v>
      </c>
      <c r="BU105" s="556">
        <v>7.3859999999999995E-2</v>
      </c>
      <c r="BV105" s="556">
        <v>4.929E-2</v>
      </c>
      <c r="BW105" s="557" t="s">
        <v>2275</v>
      </c>
      <c r="BX105" s="534" t="s">
        <v>2276</v>
      </c>
      <c r="DH105" s="539" t="str">
        <f t="shared" si="51"/>
        <v>US-NYCW (NPCC NYC/Westchester)</v>
      </c>
      <c r="DI105" s="539" t="str">
        <f t="shared" si="52"/>
        <v>Americas</v>
      </c>
      <c r="DJ105" s="539" t="str">
        <f t="shared" si="53"/>
        <v>North America</v>
      </c>
      <c r="DL105" s="539" t="s">
        <v>35</v>
      </c>
      <c r="DN105" s="539" t="s">
        <v>2489</v>
      </c>
      <c r="DO105" s="539" t="s">
        <v>2490</v>
      </c>
    </row>
    <row r="106" spans="3:119" ht="25.5">
      <c r="C106" s="463" t="s">
        <v>2518</v>
      </c>
      <c r="D106" s="519"/>
      <c r="E106" s="731">
        <v>138</v>
      </c>
      <c r="F106" s="520" t="s">
        <v>2079</v>
      </c>
      <c r="G106" s="521" t="s">
        <v>4368</v>
      </c>
      <c r="H106" s="520"/>
      <c r="I106" s="521"/>
      <c r="J106" s="520"/>
      <c r="AW106" s="1393" t="s">
        <v>2204</v>
      </c>
      <c r="AX106" s="1394" t="s">
        <v>2086</v>
      </c>
      <c r="AY106" s="1396" t="s">
        <v>2151</v>
      </c>
      <c r="AZ106" s="1396">
        <v>539.47193413600007</v>
      </c>
      <c r="BA106" s="527" t="s">
        <v>4367</v>
      </c>
      <c r="BB106" s="535">
        <v>9.3894684857089938</v>
      </c>
      <c r="BC106" s="534" t="s">
        <v>2087</v>
      </c>
      <c r="BD106" s="536"/>
      <c r="BE106" s="536"/>
      <c r="BF106" s="534"/>
      <c r="BG106" s="536"/>
      <c r="BH106" s="537">
        <f t="shared" si="43"/>
        <v>23.2</v>
      </c>
      <c r="BI106" s="537">
        <f t="shared" si="44"/>
        <v>3.9</v>
      </c>
      <c r="BJ106" s="537">
        <f t="shared" si="45"/>
        <v>33.9</v>
      </c>
      <c r="BK106" s="537">
        <f t="shared" si="46"/>
        <v>6.2</v>
      </c>
      <c r="BL106" s="537">
        <f t="shared" si="47"/>
        <v>9.5</v>
      </c>
      <c r="BM106" s="537">
        <f t="shared" si="48"/>
        <v>5.6</v>
      </c>
      <c r="BN106" s="537">
        <f t="shared" si="49"/>
        <v>8.5</v>
      </c>
      <c r="BO106" s="537">
        <f t="shared" si="50"/>
        <v>9.2000000000000028</v>
      </c>
      <c r="BP106" s="537">
        <f t="shared" si="42"/>
        <v>100</v>
      </c>
      <c r="BQ106" s="534" t="s">
        <v>1979</v>
      </c>
      <c r="BR106" s="556">
        <v>8.8539999999999994E-2</v>
      </c>
      <c r="BS106" s="556">
        <v>8.8539999999999994E-2</v>
      </c>
      <c r="BT106" s="556">
        <v>1.719E-2</v>
      </c>
      <c r="BU106" s="556">
        <v>7.3859999999999995E-2</v>
      </c>
      <c r="BV106" s="556">
        <v>4.929E-2</v>
      </c>
      <c r="BW106" s="557" t="s">
        <v>2275</v>
      </c>
      <c r="BX106" s="534" t="s">
        <v>2276</v>
      </c>
      <c r="DH106" s="539" t="str">
        <f t="shared" si="51"/>
        <v>US-NYLI (NPCC Long Island)</v>
      </c>
      <c r="DI106" s="539" t="str">
        <f t="shared" si="52"/>
        <v>Americas</v>
      </c>
      <c r="DJ106" s="539" t="str">
        <f t="shared" si="53"/>
        <v>North America</v>
      </c>
      <c r="DL106" s="539" t="s">
        <v>35</v>
      </c>
      <c r="DN106" s="539" t="s">
        <v>2493</v>
      </c>
      <c r="DO106" s="539" t="s">
        <v>2494</v>
      </c>
    </row>
    <row r="107" spans="3:119" ht="25.5">
      <c r="C107" s="463" t="s">
        <v>4388</v>
      </c>
      <c r="D107" s="519"/>
      <c r="E107" s="731">
        <v>1494</v>
      </c>
      <c r="F107" s="520" t="s">
        <v>2079</v>
      </c>
      <c r="G107" s="521" t="s">
        <v>4368</v>
      </c>
      <c r="H107" s="520"/>
      <c r="I107" s="521"/>
      <c r="J107" s="520"/>
      <c r="AW107" s="1393" t="s">
        <v>2209</v>
      </c>
      <c r="AX107" s="1395" t="s">
        <v>2086</v>
      </c>
      <c r="AY107" s="1396" t="s">
        <v>2151</v>
      </c>
      <c r="AZ107" s="1396">
        <v>110.121251392</v>
      </c>
      <c r="BA107" s="527" t="s">
        <v>4367</v>
      </c>
      <c r="BB107" s="535">
        <v>5.4123414965002699</v>
      </c>
      <c r="BC107" s="534" t="s">
        <v>2049</v>
      </c>
      <c r="BD107" s="536"/>
      <c r="BE107" s="536"/>
      <c r="BF107" s="534"/>
      <c r="BG107" s="536"/>
      <c r="BH107" s="537">
        <f t="shared" ref="BH107:BH138" si="54">+VLOOKUP($AY107,$BZ$3:$CH$21,2,FALSE)</f>
        <v>23.2</v>
      </c>
      <c r="BI107" s="537">
        <f t="shared" ref="BI107:BI138" si="55">+VLOOKUP($AY107,$BZ$3:$CH$21,3,FALSE)</f>
        <v>3.9</v>
      </c>
      <c r="BJ107" s="537">
        <f t="shared" ref="BJ107:BJ138" si="56">+VLOOKUP($AY107,$BZ$3:$CH$21,4,FALSE)</f>
        <v>33.9</v>
      </c>
      <c r="BK107" s="537">
        <f t="shared" ref="BK107:BK138" si="57">+VLOOKUP($AY107,$BZ$3:$CH$21,5,FALSE)</f>
        <v>6.2</v>
      </c>
      <c r="BL107" s="537">
        <f t="shared" ref="BL107:BL138" si="58">+VLOOKUP($AY107,$BZ$3:$CH$21,6,FALSE)</f>
        <v>9.5</v>
      </c>
      <c r="BM107" s="537">
        <f t="shared" ref="BM107:BM138" si="59">+VLOOKUP($AY107,$BZ$3:$CH$21,7,FALSE)</f>
        <v>5.6</v>
      </c>
      <c r="BN107" s="537">
        <f t="shared" ref="BN107:BN138" si="60">+VLOOKUP($AY107,$BZ$3:$CH$21,8,FALSE)</f>
        <v>8.5</v>
      </c>
      <c r="BO107" s="537">
        <f t="shared" ref="BO107:BO138" si="61">+VLOOKUP($AY107,$BZ$3:$CH$21,9,FALSE)</f>
        <v>9.2000000000000028</v>
      </c>
      <c r="BP107" s="537">
        <f t="shared" si="42"/>
        <v>100</v>
      </c>
      <c r="BQ107" s="534" t="s">
        <v>1979</v>
      </c>
      <c r="BR107" s="556">
        <v>8.8539999999999994E-2</v>
      </c>
      <c r="BS107" s="556">
        <v>8.8539999999999994E-2</v>
      </c>
      <c r="BT107" s="556">
        <v>1.719E-2</v>
      </c>
      <c r="BU107" s="556">
        <v>7.3859999999999995E-2</v>
      </c>
      <c r="BV107" s="556">
        <v>4.929E-2</v>
      </c>
      <c r="BW107" s="557" t="s">
        <v>2275</v>
      </c>
      <c r="BX107" s="534" t="s">
        <v>2276</v>
      </c>
    </row>
    <row r="108" spans="3:119">
      <c r="C108" s="463" t="s">
        <v>4389</v>
      </c>
      <c r="D108" s="519"/>
      <c r="E108" s="731">
        <v>1504</v>
      </c>
      <c r="F108" s="520" t="s">
        <v>2079</v>
      </c>
      <c r="G108" s="521" t="s">
        <v>4368</v>
      </c>
      <c r="H108" s="520"/>
      <c r="I108" s="521"/>
      <c r="J108" s="520"/>
      <c r="AW108" s="1393" t="s">
        <v>2213</v>
      </c>
      <c r="AX108" s="1395" t="s">
        <v>2086</v>
      </c>
      <c r="AY108" s="1396" t="s">
        <v>2151</v>
      </c>
      <c r="AZ108" s="1396">
        <v>271.77871863999997</v>
      </c>
      <c r="BA108" s="527" t="s">
        <v>4367</v>
      </c>
      <c r="BB108" s="551">
        <v>9.4594594594594597</v>
      </c>
      <c r="BC108" s="534" t="s">
        <v>2006</v>
      </c>
      <c r="BD108" s="536"/>
      <c r="BE108" s="536"/>
      <c r="BF108" s="534"/>
      <c r="BG108" s="536"/>
      <c r="BH108" s="537">
        <f t="shared" si="54"/>
        <v>23.2</v>
      </c>
      <c r="BI108" s="537">
        <f t="shared" si="55"/>
        <v>3.9</v>
      </c>
      <c r="BJ108" s="537">
        <f t="shared" si="56"/>
        <v>33.9</v>
      </c>
      <c r="BK108" s="537">
        <f t="shared" si="57"/>
        <v>6.2</v>
      </c>
      <c r="BL108" s="537">
        <f t="shared" si="58"/>
        <v>9.5</v>
      </c>
      <c r="BM108" s="537">
        <f t="shared" si="59"/>
        <v>5.6</v>
      </c>
      <c r="BN108" s="537">
        <f t="shared" si="60"/>
        <v>8.5</v>
      </c>
      <c r="BO108" s="537">
        <f t="shared" si="61"/>
        <v>9.2000000000000028</v>
      </c>
      <c r="BP108" s="537">
        <f t="shared" si="42"/>
        <v>100</v>
      </c>
      <c r="BQ108" s="534" t="s">
        <v>1979</v>
      </c>
      <c r="BR108" s="556">
        <v>8.8539999999999994E-2</v>
      </c>
      <c r="BS108" s="556">
        <v>8.8539999999999994E-2</v>
      </c>
      <c r="BT108" s="556">
        <v>1.719E-2</v>
      </c>
      <c r="BU108" s="556">
        <v>7.3859999999999995E-2</v>
      </c>
      <c r="BV108" s="556">
        <v>4.929E-2</v>
      </c>
      <c r="BW108" s="557" t="s">
        <v>2275</v>
      </c>
      <c r="BX108" s="534" t="s">
        <v>2276</v>
      </c>
      <c r="DH108" s="539" t="str">
        <f t="shared" ref="DH108:DH139" si="62">AW107</f>
        <v>US-NYUP (NPCC Upstate NY)</v>
      </c>
      <c r="DI108" s="539" t="str">
        <f t="shared" ref="DI108:DI139" si="63">AX107</f>
        <v>Americas</v>
      </c>
      <c r="DJ108" s="539" t="str">
        <f t="shared" ref="DJ108:DJ139" si="64">AY107</f>
        <v>North America</v>
      </c>
      <c r="DL108" s="539" t="s">
        <v>35</v>
      </c>
      <c r="DN108" s="539" t="s">
        <v>2497</v>
      </c>
      <c r="DO108" s="539" t="s">
        <v>2498</v>
      </c>
    </row>
    <row r="109" spans="3:119" ht="25.5">
      <c r="C109" s="463" t="s">
        <v>4390</v>
      </c>
      <c r="D109" s="519"/>
      <c r="E109" s="731">
        <v>601</v>
      </c>
      <c r="F109" s="520" t="s">
        <v>2079</v>
      </c>
      <c r="G109" s="521" t="s">
        <v>4368</v>
      </c>
      <c r="H109" s="520"/>
      <c r="I109" s="521"/>
      <c r="J109" s="520"/>
      <c r="AW109" s="1393" t="s">
        <v>2217</v>
      </c>
      <c r="AX109" s="1394" t="s">
        <v>2086</v>
      </c>
      <c r="AY109" s="1396" t="s">
        <v>2151</v>
      </c>
      <c r="AZ109" s="1396">
        <v>442.69581297599996</v>
      </c>
      <c r="BA109" s="527" t="s">
        <v>4367</v>
      </c>
      <c r="BB109" s="535">
        <v>13.490630673342661</v>
      </c>
      <c r="BC109" s="534" t="s">
        <v>2223</v>
      </c>
      <c r="BD109" s="536"/>
      <c r="BE109" s="536"/>
      <c r="BF109" s="534"/>
      <c r="BG109" s="536"/>
      <c r="BH109" s="537">
        <f t="shared" si="54"/>
        <v>23.2</v>
      </c>
      <c r="BI109" s="537">
        <f t="shared" si="55"/>
        <v>3.9</v>
      </c>
      <c r="BJ109" s="537">
        <f t="shared" si="56"/>
        <v>33.9</v>
      </c>
      <c r="BK109" s="537">
        <f t="shared" si="57"/>
        <v>6.2</v>
      </c>
      <c r="BL109" s="537">
        <f t="shared" si="58"/>
        <v>9.5</v>
      </c>
      <c r="BM109" s="537">
        <f t="shared" si="59"/>
        <v>5.6</v>
      </c>
      <c r="BN109" s="537">
        <f t="shared" si="60"/>
        <v>8.5</v>
      </c>
      <c r="BO109" s="537">
        <f t="shared" si="61"/>
        <v>9.2000000000000028</v>
      </c>
      <c r="BP109" s="537">
        <f t="shared" si="42"/>
        <v>100</v>
      </c>
      <c r="BQ109" s="534" t="s">
        <v>1979</v>
      </c>
      <c r="BR109" s="556">
        <v>8.8539999999999994E-2</v>
      </c>
      <c r="BS109" s="556">
        <v>8.8539999999999994E-2</v>
      </c>
      <c r="BT109" s="556">
        <v>1.719E-2</v>
      </c>
      <c r="BU109" s="556">
        <v>7.3859999999999995E-2</v>
      </c>
      <c r="BV109" s="556">
        <v>4.929E-2</v>
      </c>
      <c r="BW109" s="557" t="s">
        <v>2275</v>
      </c>
      <c r="BX109" s="534" t="s">
        <v>2276</v>
      </c>
      <c r="DH109" s="539" t="str">
        <f t="shared" si="62"/>
        <v>US-RFCE (RFC East)</v>
      </c>
      <c r="DI109" s="539" t="str">
        <f t="shared" si="63"/>
        <v>Americas</v>
      </c>
      <c r="DJ109" s="539" t="str">
        <f t="shared" si="64"/>
        <v>North America</v>
      </c>
      <c r="DL109" s="539" t="s">
        <v>35</v>
      </c>
      <c r="DN109" s="539" t="s">
        <v>2502</v>
      </c>
      <c r="DO109" s="539" t="s">
        <v>2503</v>
      </c>
    </row>
    <row r="110" spans="3:119" ht="25.5">
      <c r="C110" s="463" t="s">
        <v>4391</v>
      </c>
      <c r="D110" s="519"/>
      <c r="E110" s="731">
        <v>2292</v>
      </c>
      <c r="F110" s="520" t="s">
        <v>2079</v>
      </c>
      <c r="G110" s="521" t="s">
        <v>4368</v>
      </c>
      <c r="H110" s="520"/>
      <c r="I110" s="521"/>
      <c r="J110" s="520" t="s">
        <v>2569</v>
      </c>
      <c r="AW110" s="1393" t="s">
        <v>2222</v>
      </c>
      <c r="AX110" s="1395" t="s">
        <v>2086</v>
      </c>
      <c r="AY110" s="1396" t="s">
        <v>2151</v>
      </c>
      <c r="AZ110" s="1396">
        <v>415.51476596800001</v>
      </c>
      <c r="BA110" s="527" t="s">
        <v>4367</v>
      </c>
      <c r="BB110" s="535">
        <v>13.490630673342661</v>
      </c>
      <c r="BC110" s="534" t="s">
        <v>2223</v>
      </c>
      <c r="BD110" s="536"/>
      <c r="BE110" s="536"/>
      <c r="BF110" s="534"/>
      <c r="BG110" s="536"/>
      <c r="BH110" s="537">
        <f t="shared" si="54"/>
        <v>23.2</v>
      </c>
      <c r="BI110" s="537">
        <f t="shared" si="55"/>
        <v>3.9</v>
      </c>
      <c r="BJ110" s="537">
        <f t="shared" si="56"/>
        <v>33.9</v>
      </c>
      <c r="BK110" s="537">
        <f t="shared" si="57"/>
        <v>6.2</v>
      </c>
      <c r="BL110" s="537">
        <f t="shared" si="58"/>
        <v>9.5</v>
      </c>
      <c r="BM110" s="537">
        <f t="shared" si="59"/>
        <v>5.6</v>
      </c>
      <c r="BN110" s="537">
        <f t="shared" si="60"/>
        <v>8.5</v>
      </c>
      <c r="BO110" s="537">
        <f t="shared" si="61"/>
        <v>9.2000000000000028</v>
      </c>
      <c r="BP110" s="537">
        <f t="shared" si="42"/>
        <v>100</v>
      </c>
      <c r="BQ110" s="534" t="s">
        <v>1979</v>
      </c>
      <c r="BR110" s="556">
        <v>8.8539999999999994E-2</v>
      </c>
      <c r="BS110" s="556">
        <v>8.8539999999999994E-2</v>
      </c>
      <c r="BT110" s="556">
        <v>1.719E-2</v>
      </c>
      <c r="BU110" s="556">
        <v>7.3859999999999995E-2</v>
      </c>
      <c r="BV110" s="556">
        <v>4.929E-2</v>
      </c>
      <c r="BW110" s="557" t="s">
        <v>2275</v>
      </c>
      <c r="BX110" s="534" t="s">
        <v>2276</v>
      </c>
      <c r="DH110" s="539" t="str">
        <f t="shared" si="62"/>
        <v>US-RFCM (RFC Michigan)</v>
      </c>
      <c r="DI110" s="539" t="str">
        <f t="shared" si="63"/>
        <v>Americas</v>
      </c>
      <c r="DJ110" s="539" t="str">
        <f t="shared" si="64"/>
        <v>North America</v>
      </c>
      <c r="DL110" s="539" t="s">
        <v>35</v>
      </c>
      <c r="DN110" s="539" t="s">
        <v>2505</v>
      </c>
      <c r="DO110" s="539" t="s">
        <v>2506</v>
      </c>
    </row>
    <row r="111" spans="3:119" ht="25.5">
      <c r="C111" s="463" t="s">
        <v>4392</v>
      </c>
      <c r="D111" s="519"/>
      <c r="E111" s="731">
        <v>237</v>
      </c>
      <c r="F111" s="520" t="s">
        <v>2079</v>
      </c>
      <c r="G111" s="521" t="s">
        <v>4368</v>
      </c>
      <c r="H111" s="520"/>
      <c r="I111" s="521"/>
      <c r="J111" s="520"/>
      <c r="AW111" s="1393" t="s">
        <v>2226</v>
      </c>
      <c r="AX111" s="1394" t="s">
        <v>2086</v>
      </c>
      <c r="AY111" s="1396" t="s">
        <v>2151</v>
      </c>
      <c r="AZ111" s="1396">
        <v>472.88735008800001</v>
      </c>
      <c r="BA111" s="527" t="s">
        <v>4367</v>
      </c>
      <c r="BB111" s="535">
        <v>15.618667277425265</v>
      </c>
      <c r="BC111" s="534" t="s">
        <v>2218</v>
      </c>
      <c r="BD111" s="536"/>
      <c r="BE111" s="536"/>
      <c r="BF111" s="534"/>
      <c r="BG111" s="536"/>
      <c r="BH111" s="537">
        <f t="shared" si="54"/>
        <v>23.2</v>
      </c>
      <c r="BI111" s="537">
        <f t="shared" si="55"/>
        <v>3.9</v>
      </c>
      <c r="BJ111" s="537">
        <f t="shared" si="56"/>
        <v>33.9</v>
      </c>
      <c r="BK111" s="537">
        <f t="shared" si="57"/>
        <v>6.2</v>
      </c>
      <c r="BL111" s="537">
        <f t="shared" si="58"/>
        <v>9.5</v>
      </c>
      <c r="BM111" s="537">
        <f t="shared" si="59"/>
        <v>5.6</v>
      </c>
      <c r="BN111" s="537">
        <f t="shared" si="60"/>
        <v>8.5</v>
      </c>
      <c r="BO111" s="537">
        <f t="shared" si="61"/>
        <v>9.2000000000000028</v>
      </c>
      <c r="BP111" s="537">
        <f t="shared" si="42"/>
        <v>100</v>
      </c>
      <c r="BQ111" s="534" t="s">
        <v>1979</v>
      </c>
      <c r="BR111" s="556">
        <v>8.8539999999999994E-2</v>
      </c>
      <c r="BS111" s="556">
        <v>8.8539999999999994E-2</v>
      </c>
      <c r="BT111" s="556">
        <v>1.719E-2</v>
      </c>
      <c r="BU111" s="556">
        <v>7.3859999999999995E-2</v>
      </c>
      <c r="BV111" s="556">
        <v>4.929E-2</v>
      </c>
      <c r="BW111" s="557" t="s">
        <v>2275</v>
      </c>
      <c r="BX111" s="534" t="s">
        <v>2276</v>
      </c>
      <c r="DH111" s="539" t="str">
        <f t="shared" si="62"/>
        <v>US-RFCW (RFC West)</v>
      </c>
      <c r="DI111" s="539" t="str">
        <f t="shared" si="63"/>
        <v>Americas</v>
      </c>
      <c r="DJ111" s="539" t="str">
        <f t="shared" si="64"/>
        <v>North America</v>
      </c>
      <c r="DL111" s="539" t="s">
        <v>35</v>
      </c>
      <c r="DN111" s="539" t="s">
        <v>2509</v>
      </c>
      <c r="DO111" s="539" t="s">
        <v>2510</v>
      </c>
    </row>
    <row r="112" spans="3:119">
      <c r="C112" s="463" t="s">
        <v>4393</v>
      </c>
      <c r="D112" s="519"/>
      <c r="E112" s="731">
        <v>531</v>
      </c>
      <c r="F112" s="520" t="s">
        <v>2079</v>
      </c>
      <c r="G112" s="521" t="s">
        <v>4368</v>
      </c>
      <c r="H112" s="520"/>
      <c r="I112" s="521"/>
      <c r="J112" s="520" t="s">
        <v>2578</v>
      </c>
      <c r="AW112" s="1393" t="s">
        <v>2229</v>
      </c>
      <c r="AX112" s="1395" t="s">
        <v>2086</v>
      </c>
      <c r="AY112" s="1396" t="s">
        <v>2151</v>
      </c>
      <c r="AZ112" s="1396">
        <v>393.59992208</v>
      </c>
      <c r="BA112" s="527" t="s">
        <v>4367</v>
      </c>
      <c r="BB112" s="535">
        <v>60.116166505324301</v>
      </c>
      <c r="BC112" s="534" t="s">
        <v>2006</v>
      </c>
      <c r="BD112" s="536"/>
      <c r="BE112" s="536"/>
      <c r="BF112" s="534"/>
      <c r="BG112" s="536"/>
      <c r="BH112" s="537">
        <f t="shared" si="54"/>
        <v>23.2</v>
      </c>
      <c r="BI112" s="537">
        <f t="shared" si="55"/>
        <v>3.9</v>
      </c>
      <c r="BJ112" s="537">
        <f t="shared" si="56"/>
        <v>33.9</v>
      </c>
      <c r="BK112" s="537">
        <f t="shared" si="57"/>
        <v>6.2</v>
      </c>
      <c r="BL112" s="537">
        <f t="shared" si="58"/>
        <v>9.5</v>
      </c>
      <c r="BM112" s="537">
        <f t="shared" si="59"/>
        <v>5.6</v>
      </c>
      <c r="BN112" s="537">
        <f t="shared" si="60"/>
        <v>8.5</v>
      </c>
      <c r="BO112" s="537">
        <f t="shared" si="61"/>
        <v>9.2000000000000028</v>
      </c>
      <c r="BP112" s="537">
        <f t="shared" si="42"/>
        <v>100</v>
      </c>
      <c r="BQ112" s="534" t="s">
        <v>1979</v>
      </c>
      <c r="BR112" s="556">
        <v>8.8539999999999994E-2</v>
      </c>
      <c r="BS112" s="556">
        <v>8.8539999999999994E-2</v>
      </c>
      <c r="BT112" s="556">
        <v>1.719E-2</v>
      </c>
      <c r="BU112" s="556">
        <v>7.3859999999999995E-2</v>
      </c>
      <c r="BV112" s="556">
        <v>4.929E-2</v>
      </c>
      <c r="BW112" s="557" t="s">
        <v>2275</v>
      </c>
      <c r="BX112" s="534" t="s">
        <v>2276</v>
      </c>
      <c r="DH112" s="539" t="str">
        <f t="shared" si="62"/>
        <v>US-RMPA (WECC Rockies)</v>
      </c>
      <c r="DI112" s="539" t="str">
        <f t="shared" si="63"/>
        <v>Americas</v>
      </c>
      <c r="DJ112" s="539" t="str">
        <f t="shared" si="64"/>
        <v>North America</v>
      </c>
      <c r="DL112" s="539" t="s">
        <v>35</v>
      </c>
      <c r="DN112" s="539" t="s">
        <v>2512</v>
      </c>
      <c r="DO112" s="539" t="s">
        <v>2513</v>
      </c>
    </row>
    <row r="113" spans="3:119" ht="38.25">
      <c r="C113" s="463" t="s">
        <v>4394</v>
      </c>
      <c r="D113" s="519"/>
      <c r="E113" s="731">
        <v>166</v>
      </c>
      <c r="F113" s="520" t="s">
        <v>2079</v>
      </c>
      <c r="G113" s="521" t="s">
        <v>4368</v>
      </c>
      <c r="H113" s="520"/>
      <c r="I113" s="521"/>
      <c r="J113" s="520" t="s">
        <v>2583</v>
      </c>
      <c r="AW113" s="1393" t="s">
        <v>2233</v>
      </c>
      <c r="AX113" s="1394" t="s">
        <v>2086</v>
      </c>
      <c r="AY113" s="1396" t="s">
        <v>2151</v>
      </c>
      <c r="AZ113" s="1396">
        <v>397.15018666399999</v>
      </c>
      <c r="BA113" s="527" t="s">
        <v>4367</v>
      </c>
      <c r="BB113" s="535">
        <v>34.946504105498882</v>
      </c>
      <c r="BC113" s="534" t="s">
        <v>2006</v>
      </c>
      <c r="BD113" s="548">
        <v>0.1</v>
      </c>
      <c r="BE113" s="548">
        <v>0.1</v>
      </c>
      <c r="BF113" s="534" t="s">
        <v>2520</v>
      </c>
      <c r="BG113" s="536"/>
      <c r="BH113" s="537">
        <f t="shared" si="54"/>
        <v>23.2</v>
      </c>
      <c r="BI113" s="537">
        <f t="shared" si="55"/>
        <v>3.9</v>
      </c>
      <c r="BJ113" s="537">
        <f t="shared" si="56"/>
        <v>33.9</v>
      </c>
      <c r="BK113" s="537">
        <f t="shared" si="57"/>
        <v>6.2</v>
      </c>
      <c r="BL113" s="537">
        <f t="shared" si="58"/>
        <v>9.5</v>
      </c>
      <c r="BM113" s="537">
        <f t="shared" si="59"/>
        <v>5.6</v>
      </c>
      <c r="BN113" s="537">
        <f t="shared" si="60"/>
        <v>8.5</v>
      </c>
      <c r="BO113" s="537">
        <f t="shared" si="61"/>
        <v>9.2000000000000028</v>
      </c>
      <c r="BP113" s="537">
        <f t="shared" si="42"/>
        <v>100</v>
      </c>
      <c r="BQ113" s="534" t="s">
        <v>1979</v>
      </c>
      <c r="BR113" s="556">
        <v>8.8539999999999994E-2</v>
      </c>
      <c r="BS113" s="556">
        <v>8.8539999999999994E-2</v>
      </c>
      <c r="BT113" s="556">
        <v>1.719E-2</v>
      </c>
      <c r="BU113" s="556">
        <v>7.3859999999999995E-2</v>
      </c>
      <c r="BV113" s="556">
        <v>4.929E-2</v>
      </c>
      <c r="BW113" s="557" t="s">
        <v>2275</v>
      </c>
      <c r="BX113" s="534" t="s">
        <v>2276</v>
      </c>
      <c r="DH113" s="539" t="str">
        <f t="shared" si="62"/>
        <v>US-SPNO (SPP North)</v>
      </c>
      <c r="DI113" s="539" t="str">
        <f t="shared" si="63"/>
        <v>Americas</v>
      </c>
      <c r="DJ113" s="539" t="str">
        <f t="shared" si="64"/>
        <v>North America</v>
      </c>
      <c r="DL113" s="539" t="s">
        <v>35</v>
      </c>
      <c r="DN113" s="539" t="s">
        <v>2516</v>
      </c>
      <c r="DO113" s="539" t="s">
        <v>2517</v>
      </c>
    </row>
    <row r="114" spans="3:119" ht="12.75" customHeight="1">
      <c r="C114" s="463" t="s">
        <v>4395</v>
      </c>
      <c r="D114" s="519"/>
      <c r="E114" s="731">
        <v>169</v>
      </c>
      <c r="F114" s="520" t="s">
        <v>2079</v>
      </c>
      <c r="G114" s="521" t="s">
        <v>4368</v>
      </c>
      <c r="AW114" s="1393" t="s">
        <v>2236</v>
      </c>
      <c r="AX114" s="1395" t="s">
        <v>2086</v>
      </c>
      <c r="AY114" s="1396" t="s">
        <v>2151</v>
      </c>
      <c r="AZ114" s="1396">
        <v>336.44778367200001</v>
      </c>
      <c r="BA114" s="527" t="s">
        <v>4367</v>
      </c>
      <c r="BB114" s="535">
        <v>12.493422536270014</v>
      </c>
      <c r="BC114" s="534" t="s">
        <v>2006</v>
      </c>
      <c r="BD114" s="536"/>
      <c r="BE114" s="536"/>
      <c r="BF114" s="534"/>
      <c r="BG114" s="536"/>
      <c r="BH114" s="537">
        <f t="shared" si="54"/>
        <v>23.2</v>
      </c>
      <c r="BI114" s="537">
        <f t="shared" si="55"/>
        <v>3.9</v>
      </c>
      <c r="BJ114" s="537">
        <f t="shared" si="56"/>
        <v>33.9</v>
      </c>
      <c r="BK114" s="537">
        <f t="shared" si="57"/>
        <v>6.2</v>
      </c>
      <c r="BL114" s="537">
        <f t="shared" si="58"/>
        <v>9.5</v>
      </c>
      <c r="BM114" s="537">
        <f t="shared" si="59"/>
        <v>5.6</v>
      </c>
      <c r="BN114" s="537">
        <f t="shared" si="60"/>
        <v>8.5</v>
      </c>
      <c r="BO114" s="537">
        <f t="shared" si="61"/>
        <v>9.2000000000000028</v>
      </c>
      <c r="BP114" s="537">
        <f t="shared" si="42"/>
        <v>100</v>
      </c>
      <c r="BQ114" s="534" t="s">
        <v>1979</v>
      </c>
      <c r="BR114" s="556">
        <v>8.8539999999999994E-2</v>
      </c>
      <c r="BS114" s="556">
        <v>8.8539999999999994E-2</v>
      </c>
      <c r="BT114" s="556">
        <v>1.719E-2</v>
      </c>
      <c r="BU114" s="556">
        <v>7.3859999999999995E-2</v>
      </c>
      <c r="BV114" s="556">
        <v>4.929E-2</v>
      </c>
      <c r="BW114" s="557" t="s">
        <v>2275</v>
      </c>
      <c r="BX114" s="534" t="s">
        <v>2276</v>
      </c>
      <c r="DH114" s="539" t="str">
        <f t="shared" si="62"/>
        <v>US-SPSO (SPP South)</v>
      </c>
      <c r="DI114" s="539" t="str">
        <f t="shared" si="63"/>
        <v>Americas</v>
      </c>
      <c r="DJ114" s="539" t="str">
        <f t="shared" si="64"/>
        <v>North America</v>
      </c>
      <c r="DL114" s="539" t="s">
        <v>35</v>
      </c>
      <c r="DN114" s="539" t="s">
        <v>2521</v>
      </c>
      <c r="DO114" s="539" t="s">
        <v>2522</v>
      </c>
    </row>
    <row r="115" spans="3:119" ht="12.75" customHeight="1">
      <c r="C115" s="463" t="s">
        <v>2523</v>
      </c>
      <c r="D115" s="519"/>
      <c r="E115" s="731">
        <v>9000</v>
      </c>
      <c r="F115" s="520" t="s">
        <v>2079</v>
      </c>
      <c r="G115" s="521" t="s">
        <v>4368</v>
      </c>
      <c r="AW115" s="1393" t="s">
        <v>2239</v>
      </c>
      <c r="AX115" s="1395" t="s">
        <v>2086</v>
      </c>
      <c r="AY115" s="1396" t="s">
        <v>2151</v>
      </c>
      <c r="AZ115" s="1396">
        <v>566.34680654400006</v>
      </c>
      <c r="BA115" s="527" t="s">
        <v>4367</v>
      </c>
      <c r="BB115" s="535">
        <v>12.353701687534024</v>
      </c>
      <c r="BC115" s="534" t="s">
        <v>2006</v>
      </c>
      <c r="BD115" s="548">
        <v>5.7500000000000002E-2</v>
      </c>
      <c r="BE115" s="548">
        <v>5.7500000000000002E-2</v>
      </c>
      <c r="BF115" s="534" t="s">
        <v>2179</v>
      </c>
      <c r="BG115" s="536"/>
      <c r="BH115" s="537">
        <f t="shared" si="54"/>
        <v>23.2</v>
      </c>
      <c r="BI115" s="537">
        <f t="shared" si="55"/>
        <v>3.9</v>
      </c>
      <c r="BJ115" s="537">
        <f t="shared" si="56"/>
        <v>33.9</v>
      </c>
      <c r="BK115" s="537">
        <f t="shared" si="57"/>
        <v>6.2</v>
      </c>
      <c r="BL115" s="537">
        <f t="shared" si="58"/>
        <v>9.5</v>
      </c>
      <c r="BM115" s="537">
        <f t="shared" si="59"/>
        <v>5.6</v>
      </c>
      <c r="BN115" s="537">
        <f t="shared" si="60"/>
        <v>8.5</v>
      </c>
      <c r="BO115" s="537">
        <f t="shared" si="61"/>
        <v>9.2000000000000028</v>
      </c>
      <c r="BP115" s="537">
        <f t="shared" si="42"/>
        <v>100</v>
      </c>
      <c r="BQ115" s="534" t="s">
        <v>1979</v>
      </c>
      <c r="BR115" s="556">
        <v>8.8539999999999994E-2</v>
      </c>
      <c r="BS115" s="556">
        <v>8.8539999999999994E-2</v>
      </c>
      <c r="BT115" s="556">
        <v>1.719E-2</v>
      </c>
      <c r="BU115" s="556">
        <v>7.3859999999999995E-2</v>
      </c>
      <c r="BV115" s="556">
        <v>4.929E-2</v>
      </c>
      <c r="BW115" s="557" t="s">
        <v>2275</v>
      </c>
      <c r="BX115" s="534" t="s">
        <v>2276</v>
      </c>
      <c r="DH115" s="539" t="str">
        <f t="shared" si="62"/>
        <v>US-SRMV (SERC Mississippi Valley)</v>
      </c>
      <c r="DI115" s="539" t="str">
        <f t="shared" si="63"/>
        <v>Americas</v>
      </c>
      <c r="DJ115" s="539" t="str">
        <f t="shared" si="64"/>
        <v>North America</v>
      </c>
      <c r="DL115" s="539" t="s">
        <v>35</v>
      </c>
      <c r="DN115" s="539" t="s">
        <v>2525</v>
      </c>
      <c r="DO115" s="539" t="s">
        <v>2526</v>
      </c>
    </row>
    <row r="116" spans="3:119">
      <c r="C116" s="463" t="s">
        <v>2533</v>
      </c>
      <c r="D116" s="519"/>
      <c r="E116" s="731">
        <v>14000</v>
      </c>
      <c r="F116" s="520" t="s">
        <v>2079</v>
      </c>
      <c r="G116" s="521" t="s">
        <v>4368</v>
      </c>
      <c r="AW116" s="1393" t="s">
        <v>2242</v>
      </c>
      <c r="AX116" s="1394" t="s">
        <v>2086</v>
      </c>
      <c r="AY116" s="1396" t="s">
        <v>2151</v>
      </c>
      <c r="AZ116" s="1396">
        <v>383.74200714399996</v>
      </c>
      <c r="BA116" s="527" t="s">
        <v>4367</v>
      </c>
      <c r="BB116" s="535">
        <v>2.7478894222810792</v>
      </c>
      <c r="BC116" s="534" t="s">
        <v>2006</v>
      </c>
      <c r="BD116" s="536"/>
      <c r="BE116" s="536"/>
      <c r="BF116" s="534"/>
      <c r="BG116" s="536"/>
      <c r="BH116" s="537">
        <f t="shared" si="54"/>
        <v>23.2</v>
      </c>
      <c r="BI116" s="537">
        <f t="shared" si="55"/>
        <v>3.9</v>
      </c>
      <c r="BJ116" s="537">
        <f t="shared" si="56"/>
        <v>33.9</v>
      </c>
      <c r="BK116" s="537">
        <f t="shared" si="57"/>
        <v>6.2</v>
      </c>
      <c r="BL116" s="537">
        <f t="shared" si="58"/>
        <v>9.5</v>
      </c>
      <c r="BM116" s="537">
        <f t="shared" si="59"/>
        <v>5.6</v>
      </c>
      <c r="BN116" s="537">
        <f t="shared" si="60"/>
        <v>8.5</v>
      </c>
      <c r="BO116" s="537">
        <f t="shared" si="61"/>
        <v>9.2000000000000028</v>
      </c>
      <c r="BP116" s="537">
        <f t="shared" si="42"/>
        <v>100</v>
      </c>
      <c r="BQ116" s="534" t="s">
        <v>1979</v>
      </c>
      <c r="BR116" s="556">
        <v>8.8539999999999994E-2</v>
      </c>
      <c r="BS116" s="556">
        <v>8.8539999999999994E-2</v>
      </c>
      <c r="BT116" s="556">
        <v>1.719E-2</v>
      </c>
      <c r="BU116" s="556">
        <v>7.3859999999999995E-2</v>
      </c>
      <c r="BV116" s="556">
        <v>4.929E-2</v>
      </c>
      <c r="BW116" s="557" t="s">
        <v>2275</v>
      </c>
      <c r="BX116" s="534" t="s">
        <v>2276</v>
      </c>
      <c r="DH116" s="539" t="str">
        <f t="shared" si="62"/>
        <v>US-SRMW (SERC Midwest)</v>
      </c>
      <c r="DI116" s="539" t="str">
        <f t="shared" si="63"/>
        <v>Americas</v>
      </c>
      <c r="DJ116" s="539" t="str">
        <f t="shared" si="64"/>
        <v>North America</v>
      </c>
      <c r="DK116" s="539" t="e">
        <f>VLOOKUP(DH116,#REF!,1)</f>
        <v>#REF!</v>
      </c>
      <c r="DL116" s="539" t="e">
        <f>VLOOKUP(DK116,#REF!,2,FALSE)</f>
        <v>#REF!</v>
      </c>
      <c r="DN116" s="539" t="s">
        <v>2528</v>
      </c>
      <c r="DO116" s="539" t="s">
        <v>2529</v>
      </c>
    </row>
    <row r="117" spans="3:119">
      <c r="C117" s="463" t="s">
        <v>2537</v>
      </c>
      <c r="D117" s="519"/>
      <c r="E117" s="731">
        <v>372</v>
      </c>
      <c r="F117" s="520" t="s">
        <v>2079</v>
      </c>
      <c r="G117" s="521" t="s">
        <v>4368</v>
      </c>
      <c r="AW117" s="1393" t="s">
        <v>2246</v>
      </c>
      <c r="AX117" s="1394" t="s">
        <v>2086</v>
      </c>
      <c r="AY117" s="1396" t="s">
        <v>2151</v>
      </c>
      <c r="AZ117" s="1396">
        <v>409.73237515200003</v>
      </c>
      <c r="BA117" s="527" t="s">
        <v>4367</v>
      </c>
      <c r="BB117" s="551">
        <v>19.330407318027152</v>
      </c>
      <c r="BC117" s="534" t="s">
        <v>2006</v>
      </c>
      <c r="BD117" s="548">
        <v>1.4E-2</v>
      </c>
      <c r="BE117" s="548">
        <v>1E-3</v>
      </c>
      <c r="BF117" s="534" t="s">
        <v>2345</v>
      </c>
      <c r="BG117" s="536"/>
      <c r="BH117" s="537">
        <f t="shared" si="54"/>
        <v>23.2</v>
      </c>
      <c r="BI117" s="537">
        <f t="shared" si="55"/>
        <v>3.9</v>
      </c>
      <c r="BJ117" s="537">
        <f t="shared" si="56"/>
        <v>33.9</v>
      </c>
      <c r="BK117" s="537">
        <f t="shared" si="57"/>
        <v>6.2</v>
      </c>
      <c r="BL117" s="537">
        <f t="shared" si="58"/>
        <v>9.5</v>
      </c>
      <c r="BM117" s="537">
        <f t="shared" si="59"/>
        <v>5.6</v>
      </c>
      <c r="BN117" s="537">
        <f t="shared" si="60"/>
        <v>8.5</v>
      </c>
      <c r="BO117" s="537">
        <f t="shared" si="61"/>
        <v>9.2000000000000028</v>
      </c>
      <c r="BP117" s="537">
        <f t="shared" si="42"/>
        <v>100</v>
      </c>
      <c r="BQ117" s="534" t="s">
        <v>1979</v>
      </c>
      <c r="BR117" s="556">
        <v>8.8539999999999994E-2</v>
      </c>
      <c r="BS117" s="556">
        <v>8.8539999999999994E-2</v>
      </c>
      <c r="BT117" s="556">
        <v>1.719E-2</v>
      </c>
      <c r="BU117" s="556">
        <v>7.3859999999999995E-2</v>
      </c>
      <c r="BV117" s="556">
        <v>4.929E-2</v>
      </c>
      <c r="BW117" s="557" t="s">
        <v>2275</v>
      </c>
      <c r="BX117" s="534" t="s">
        <v>2276</v>
      </c>
      <c r="DH117" s="539" t="str">
        <f t="shared" si="62"/>
        <v>US-SRSO (SERC South)</v>
      </c>
      <c r="DI117" s="539" t="str">
        <f t="shared" si="63"/>
        <v>Americas</v>
      </c>
      <c r="DJ117" s="539" t="str">
        <f t="shared" si="64"/>
        <v>North America</v>
      </c>
      <c r="DL117" s="539" t="s">
        <v>35</v>
      </c>
      <c r="DN117" s="539" t="s">
        <v>2531</v>
      </c>
      <c r="DO117" s="539" t="s">
        <v>2532</v>
      </c>
    </row>
    <row r="118" spans="3:119">
      <c r="C118" s="463" t="s">
        <v>2547</v>
      </c>
      <c r="D118" s="519"/>
      <c r="E118" s="731">
        <v>4775</v>
      </c>
      <c r="F118" s="520" t="s">
        <v>2079</v>
      </c>
      <c r="G118" s="521" t="s">
        <v>4368</v>
      </c>
      <c r="AW118" s="1393" t="s">
        <v>2250</v>
      </c>
      <c r="AX118" s="1395" t="s">
        <v>2086</v>
      </c>
      <c r="AY118" s="1396" t="s">
        <v>2151</v>
      </c>
      <c r="AZ118" s="1396">
        <v>270.48870299200001</v>
      </c>
      <c r="BA118" s="527" t="s">
        <v>4367</v>
      </c>
      <c r="BB118" s="535">
        <v>9.4011655461742354</v>
      </c>
      <c r="BC118" s="534" t="s">
        <v>2006</v>
      </c>
      <c r="BD118" s="548">
        <v>0.2</v>
      </c>
      <c r="BE118" s="548">
        <v>0</v>
      </c>
      <c r="BF118" s="534" t="s">
        <v>2179</v>
      </c>
      <c r="BG118" s="536"/>
      <c r="BH118" s="537">
        <f t="shared" si="54"/>
        <v>23.2</v>
      </c>
      <c r="BI118" s="537">
        <f t="shared" si="55"/>
        <v>3.9</v>
      </c>
      <c r="BJ118" s="537">
        <f t="shared" si="56"/>
        <v>33.9</v>
      </c>
      <c r="BK118" s="537">
        <f t="shared" si="57"/>
        <v>6.2</v>
      </c>
      <c r="BL118" s="537">
        <f t="shared" si="58"/>
        <v>9.5</v>
      </c>
      <c r="BM118" s="537">
        <f t="shared" si="59"/>
        <v>5.6</v>
      </c>
      <c r="BN118" s="537">
        <f t="shared" si="60"/>
        <v>8.5</v>
      </c>
      <c r="BO118" s="537">
        <f t="shared" si="61"/>
        <v>9.2000000000000028</v>
      </c>
      <c r="BP118" s="537">
        <f t="shared" si="42"/>
        <v>100</v>
      </c>
      <c r="BQ118" s="534" t="s">
        <v>1979</v>
      </c>
      <c r="BR118" s="556">
        <v>8.8539999999999994E-2</v>
      </c>
      <c r="BS118" s="556">
        <v>8.8539999999999994E-2</v>
      </c>
      <c r="BT118" s="556">
        <v>1.719E-2</v>
      </c>
      <c r="BU118" s="556">
        <v>7.3859999999999995E-2</v>
      </c>
      <c r="BV118" s="556">
        <v>4.929E-2</v>
      </c>
      <c r="BW118" s="557" t="s">
        <v>2275</v>
      </c>
      <c r="BX118" s="534" t="s">
        <v>2276</v>
      </c>
      <c r="DH118" s="539" t="str">
        <f t="shared" si="62"/>
        <v>US-SRTV (SERC Tennessee Valley)</v>
      </c>
      <c r="DI118" s="539" t="str">
        <f t="shared" si="63"/>
        <v>Americas</v>
      </c>
      <c r="DJ118" s="539" t="str">
        <f t="shared" si="64"/>
        <v>North America</v>
      </c>
      <c r="DK118" s="539" t="e">
        <f>VLOOKUP(DH118,#REF!,1)</f>
        <v>#REF!</v>
      </c>
      <c r="DL118" s="539" t="e">
        <f>VLOOKUP(DK118,#REF!,2,FALSE)</f>
        <v>#REF!</v>
      </c>
      <c r="DN118" s="539" t="s">
        <v>2535</v>
      </c>
      <c r="DO118" s="539" t="s">
        <v>2536</v>
      </c>
    </row>
    <row r="119" spans="3:119">
      <c r="C119" s="463" t="s">
        <v>2556</v>
      </c>
      <c r="D119" s="519"/>
      <c r="E119" s="731">
        <v>5202</v>
      </c>
      <c r="F119" s="520" t="s">
        <v>2079</v>
      </c>
      <c r="G119" s="521" t="s">
        <v>4368</v>
      </c>
      <c r="AW119" s="1393" t="s">
        <v>4403</v>
      </c>
      <c r="AX119" s="1395" t="s">
        <v>2086</v>
      </c>
      <c r="AY119" s="1396" t="s">
        <v>2151</v>
      </c>
      <c r="AZ119" s="1396">
        <v>702.40081975999999</v>
      </c>
      <c r="BA119" s="527" t="s">
        <v>4367</v>
      </c>
      <c r="BB119" s="535">
        <v>12.603374252118465</v>
      </c>
      <c r="BC119" s="534" t="s">
        <v>2006</v>
      </c>
      <c r="BD119" s="536"/>
      <c r="BE119" s="536"/>
      <c r="BF119" s="534"/>
      <c r="BG119" s="536"/>
      <c r="BH119" s="537">
        <f t="shared" si="54"/>
        <v>23.2</v>
      </c>
      <c r="BI119" s="537">
        <f t="shared" si="55"/>
        <v>3.9</v>
      </c>
      <c r="BJ119" s="537">
        <f t="shared" si="56"/>
        <v>33.9</v>
      </c>
      <c r="BK119" s="537">
        <f t="shared" si="57"/>
        <v>6.2</v>
      </c>
      <c r="BL119" s="537">
        <f t="shared" si="58"/>
        <v>9.5</v>
      </c>
      <c r="BM119" s="537">
        <f t="shared" si="59"/>
        <v>5.6</v>
      </c>
      <c r="BN119" s="537">
        <f t="shared" si="60"/>
        <v>8.5</v>
      </c>
      <c r="BO119" s="537">
        <f t="shared" si="61"/>
        <v>9.2000000000000028</v>
      </c>
      <c r="BP119" s="537">
        <f t="shared" si="42"/>
        <v>100</v>
      </c>
      <c r="BQ119" s="534" t="s">
        <v>1979</v>
      </c>
      <c r="BR119" s="556">
        <v>8.8539999999999994E-2</v>
      </c>
      <c r="BS119" s="556">
        <v>8.8539999999999994E-2</v>
      </c>
      <c r="BT119" s="556">
        <v>1.719E-2</v>
      </c>
      <c r="BU119" s="556">
        <v>7.3859999999999995E-2</v>
      </c>
      <c r="BV119" s="556">
        <v>4.929E-2</v>
      </c>
      <c r="BW119" s="557" t="s">
        <v>2275</v>
      </c>
      <c r="BX119" s="534" t="s">
        <v>2276</v>
      </c>
      <c r="DH119" s="539" t="str">
        <f t="shared" si="62"/>
        <v>US-SRVC (SERC Virginia/Carolina)</v>
      </c>
      <c r="DI119" s="539" t="str">
        <f t="shared" si="63"/>
        <v>Americas</v>
      </c>
      <c r="DJ119" s="539" t="str">
        <f t="shared" si="64"/>
        <v>North America</v>
      </c>
      <c r="DK119" s="539" t="e">
        <f>VLOOKUP(DH119,#REF!,1)</f>
        <v>#REF!</v>
      </c>
      <c r="DL119" s="539" t="e">
        <f>VLOOKUP(DK119,#REF!,2,FALSE)</f>
        <v>#REF!</v>
      </c>
      <c r="DN119" s="539" t="s">
        <v>2539</v>
      </c>
      <c r="DO119" s="539" t="s">
        <v>2540</v>
      </c>
    </row>
    <row r="120" spans="3:119">
      <c r="C120" s="463" t="s">
        <v>2565</v>
      </c>
      <c r="D120" s="519"/>
      <c r="E120" s="731">
        <v>232</v>
      </c>
      <c r="F120" s="520" t="s">
        <v>2079</v>
      </c>
      <c r="G120" s="521" t="s">
        <v>4368</v>
      </c>
      <c r="AW120" s="1395" t="s">
        <v>2483</v>
      </c>
      <c r="AX120" s="1394" t="s">
        <v>2005</v>
      </c>
      <c r="AY120" s="1396" t="s">
        <v>2116</v>
      </c>
      <c r="AZ120" s="1395">
        <v>367</v>
      </c>
      <c r="BA120" s="527" t="s">
        <v>1977</v>
      </c>
      <c r="BB120" s="535">
        <v>50.631566521071889</v>
      </c>
      <c r="BC120" s="534" t="s">
        <v>2006</v>
      </c>
      <c r="BD120" s="536"/>
      <c r="BE120" s="536"/>
      <c r="BF120" s="534"/>
      <c r="BG120" s="536"/>
      <c r="BH120" s="537">
        <f t="shared" si="54"/>
        <v>21.8</v>
      </c>
      <c r="BI120" s="537">
        <f t="shared" si="55"/>
        <v>4.7</v>
      </c>
      <c r="BJ120" s="537">
        <f t="shared" si="56"/>
        <v>30.1</v>
      </c>
      <c r="BK120" s="537">
        <f t="shared" si="57"/>
        <v>7.5</v>
      </c>
      <c r="BL120" s="537">
        <f t="shared" si="58"/>
        <v>9.5</v>
      </c>
      <c r="BM120" s="537">
        <f t="shared" si="59"/>
        <v>5.6</v>
      </c>
      <c r="BN120" s="537">
        <f t="shared" si="60"/>
        <v>6.2</v>
      </c>
      <c r="BO120" s="537">
        <f t="shared" si="61"/>
        <v>14.600000000000009</v>
      </c>
      <c r="BP120" s="537">
        <f t="shared" si="42"/>
        <v>100</v>
      </c>
      <c r="BQ120" s="534" t="s">
        <v>1979</v>
      </c>
      <c r="BR120" s="556">
        <v>8.8539999999999994E-2</v>
      </c>
      <c r="BS120" s="556">
        <v>8.8539999999999994E-2</v>
      </c>
      <c r="BT120" s="556">
        <v>1.719E-2</v>
      </c>
      <c r="BU120" s="556">
        <v>7.3859999999999995E-2</v>
      </c>
      <c r="BV120" s="556">
        <v>4.929E-2</v>
      </c>
      <c r="BW120" s="557" t="s">
        <v>2275</v>
      </c>
      <c r="BX120" s="534" t="s">
        <v>2276</v>
      </c>
      <c r="DH120" s="539" t="str">
        <f t="shared" si="62"/>
        <v>US-PRMS (Puerto Rico Miscellaneous)</v>
      </c>
      <c r="DI120" s="539" t="str">
        <f t="shared" si="63"/>
        <v>Americas</v>
      </c>
      <c r="DJ120" s="539" t="str">
        <f t="shared" si="64"/>
        <v>North America</v>
      </c>
      <c r="DL120" s="539" t="s">
        <v>35</v>
      </c>
      <c r="DN120" s="539" t="s">
        <v>2542</v>
      </c>
      <c r="DO120" s="539" t="s">
        <v>2543</v>
      </c>
    </row>
    <row r="121" spans="3:119">
      <c r="C121" s="463" t="s">
        <v>4396</v>
      </c>
      <c r="D121" s="519"/>
      <c r="E121" s="731">
        <v>673</v>
      </c>
      <c r="F121" s="520" t="s">
        <v>2079</v>
      </c>
      <c r="G121" s="521" t="s">
        <v>4368</v>
      </c>
      <c r="AW121" s="1395" t="s">
        <v>46</v>
      </c>
      <c r="AX121" s="1395" t="s">
        <v>2032</v>
      </c>
      <c r="AY121" s="1396" t="s">
        <v>2088</v>
      </c>
      <c r="AZ121" s="1395">
        <v>411</v>
      </c>
      <c r="BA121" s="527" t="s">
        <v>1977</v>
      </c>
      <c r="BB121" s="535">
        <v>7.9200247985120891</v>
      </c>
      <c r="BC121" s="534" t="s">
        <v>2006</v>
      </c>
      <c r="BD121" s="536"/>
      <c r="BE121" s="536"/>
      <c r="BF121" s="534"/>
      <c r="BG121" s="536"/>
      <c r="BH121" s="537">
        <f t="shared" si="54"/>
        <v>16.5</v>
      </c>
      <c r="BI121" s="537">
        <f t="shared" si="55"/>
        <v>2.5</v>
      </c>
      <c r="BJ121" s="537">
        <f t="shared" si="56"/>
        <v>51.1</v>
      </c>
      <c r="BK121" s="537">
        <f t="shared" si="57"/>
        <v>2</v>
      </c>
      <c r="BL121" s="537">
        <f t="shared" si="58"/>
        <v>9.5</v>
      </c>
      <c r="BM121" s="537">
        <f t="shared" si="59"/>
        <v>5.6</v>
      </c>
      <c r="BN121" s="537">
        <f t="shared" si="60"/>
        <v>4.5</v>
      </c>
      <c r="BO121" s="537">
        <f t="shared" si="61"/>
        <v>8.3000000000000114</v>
      </c>
      <c r="BP121" s="537">
        <f t="shared" si="42"/>
        <v>100</v>
      </c>
      <c r="BQ121" s="534" t="s">
        <v>1979</v>
      </c>
      <c r="BR121" s="556">
        <v>8.8539999999999994E-2</v>
      </c>
      <c r="BS121" s="556">
        <v>8.8539999999999994E-2</v>
      </c>
      <c r="BT121" s="556">
        <v>1.719E-2</v>
      </c>
      <c r="BU121" s="556">
        <v>7.3859999999999995E-2</v>
      </c>
      <c r="BV121" s="556">
        <v>4.929E-2</v>
      </c>
      <c r="BW121" s="557" t="s">
        <v>2275</v>
      </c>
      <c r="BX121" s="534" t="s">
        <v>2276</v>
      </c>
      <c r="DH121" s="539" t="str">
        <f t="shared" si="62"/>
        <v>Greenland</v>
      </c>
      <c r="DI121" s="539" t="str">
        <f t="shared" si="63"/>
        <v>Europe</v>
      </c>
      <c r="DJ121" s="539" t="str">
        <f t="shared" si="64"/>
        <v>Eastern Europe</v>
      </c>
      <c r="DL121" s="539" t="s">
        <v>35</v>
      </c>
      <c r="DN121" s="539" t="s">
        <v>2545</v>
      </c>
      <c r="DO121" s="539" t="s">
        <v>2546</v>
      </c>
    </row>
    <row r="122" spans="3:119" ht="25.5">
      <c r="C122" s="463" t="s">
        <v>4397</v>
      </c>
      <c r="D122" s="519"/>
      <c r="E122" s="731">
        <v>316</v>
      </c>
      <c r="F122" s="520" t="s">
        <v>2079</v>
      </c>
      <c r="G122" s="521" t="s">
        <v>4368</v>
      </c>
      <c r="AW122" s="1395" t="s">
        <v>2616</v>
      </c>
      <c r="AX122" s="1395" t="s">
        <v>2032</v>
      </c>
      <c r="AY122" s="1396" t="s">
        <v>2088</v>
      </c>
      <c r="AZ122" s="1395">
        <v>538</v>
      </c>
      <c r="BA122" s="527" t="s">
        <v>1977</v>
      </c>
      <c r="BB122" s="535">
        <v>6.2171813834411278</v>
      </c>
      <c r="BC122" s="534" t="s">
        <v>2062</v>
      </c>
      <c r="BD122" s="536"/>
      <c r="BE122" s="536"/>
      <c r="BF122" s="534"/>
      <c r="BG122" s="536"/>
      <c r="BH122" s="537">
        <f t="shared" si="54"/>
        <v>16.5</v>
      </c>
      <c r="BI122" s="537">
        <f t="shared" si="55"/>
        <v>2.5</v>
      </c>
      <c r="BJ122" s="537">
        <f t="shared" si="56"/>
        <v>51.1</v>
      </c>
      <c r="BK122" s="537">
        <f t="shared" si="57"/>
        <v>2</v>
      </c>
      <c r="BL122" s="537">
        <f t="shared" si="58"/>
        <v>9.5</v>
      </c>
      <c r="BM122" s="537">
        <f t="shared" si="59"/>
        <v>5.6</v>
      </c>
      <c r="BN122" s="537">
        <f t="shared" si="60"/>
        <v>4.5</v>
      </c>
      <c r="BO122" s="537">
        <f t="shared" si="61"/>
        <v>8.3000000000000114</v>
      </c>
      <c r="BP122" s="537">
        <f t="shared" si="42"/>
        <v>100</v>
      </c>
      <c r="BQ122" s="534" t="s">
        <v>1979</v>
      </c>
      <c r="BR122" s="556">
        <v>8.8539999999999994E-2</v>
      </c>
      <c r="BS122" s="556">
        <v>8.8539999999999994E-2</v>
      </c>
      <c r="BT122" s="556">
        <v>1.719E-2</v>
      </c>
      <c r="BU122" s="556">
        <v>7.3859999999999995E-2</v>
      </c>
      <c r="BV122" s="556">
        <v>4.929E-2</v>
      </c>
      <c r="BW122" s="557" t="s">
        <v>2275</v>
      </c>
      <c r="BX122" s="534" t="s">
        <v>2276</v>
      </c>
      <c r="DH122" s="539" t="str">
        <f t="shared" si="62"/>
        <v>Egypt</v>
      </c>
      <c r="DI122" s="539" t="str">
        <f t="shared" si="63"/>
        <v>Africa</v>
      </c>
      <c r="DJ122" s="539" t="str">
        <f t="shared" si="64"/>
        <v>Northern Africa</v>
      </c>
      <c r="DK122" s="539" t="e">
        <f>VLOOKUP(DH122,#REF!,1)</f>
        <v>#REF!</v>
      </c>
      <c r="DL122" s="539" t="e">
        <f>VLOOKUP(DK122,#REF!,2,FALSE)</f>
        <v>#REF!</v>
      </c>
      <c r="DN122" s="539" t="s">
        <v>2549</v>
      </c>
      <c r="DO122" s="539" t="s">
        <v>2550</v>
      </c>
    </row>
    <row r="123" spans="3:119">
      <c r="C123" s="463" t="s">
        <v>2568</v>
      </c>
      <c r="D123" s="519"/>
      <c r="E123" s="731">
        <v>0.01</v>
      </c>
      <c r="F123" s="520" t="s">
        <v>2079</v>
      </c>
      <c r="G123" s="521" t="s">
        <v>4368</v>
      </c>
      <c r="AW123" s="1395" t="s">
        <v>2679</v>
      </c>
      <c r="AX123" s="1395" t="s">
        <v>2032</v>
      </c>
      <c r="AY123" s="1396" t="s">
        <v>2088</v>
      </c>
      <c r="AZ123" s="1395">
        <v>551</v>
      </c>
      <c r="BA123" s="527" t="s">
        <v>1977</v>
      </c>
      <c r="BB123" s="535">
        <v>2.8579415585483368</v>
      </c>
      <c r="BC123" s="534" t="s">
        <v>2006</v>
      </c>
      <c r="BD123" s="536"/>
      <c r="BE123" s="536"/>
      <c r="BF123" s="534"/>
      <c r="BG123" s="536"/>
      <c r="BH123" s="537">
        <f t="shared" si="54"/>
        <v>16.5</v>
      </c>
      <c r="BI123" s="537">
        <f t="shared" si="55"/>
        <v>2.5</v>
      </c>
      <c r="BJ123" s="537">
        <f t="shared" si="56"/>
        <v>51.1</v>
      </c>
      <c r="BK123" s="537">
        <f t="shared" si="57"/>
        <v>2</v>
      </c>
      <c r="BL123" s="537">
        <f t="shared" si="58"/>
        <v>9.5</v>
      </c>
      <c r="BM123" s="537">
        <f t="shared" si="59"/>
        <v>5.6</v>
      </c>
      <c r="BN123" s="537">
        <f t="shared" si="60"/>
        <v>4.5</v>
      </c>
      <c r="BO123" s="537">
        <f t="shared" si="61"/>
        <v>8.3000000000000114</v>
      </c>
      <c r="BP123" s="537">
        <f t="shared" si="42"/>
        <v>100</v>
      </c>
      <c r="BQ123" s="534" t="s">
        <v>1979</v>
      </c>
      <c r="BR123" s="556">
        <v>8.8539999999999994E-2</v>
      </c>
      <c r="BS123" s="556">
        <v>8.8539999999999994E-2</v>
      </c>
      <c r="BT123" s="556">
        <v>1.719E-2</v>
      </c>
      <c r="BU123" s="556">
        <v>7.3859999999999995E-2</v>
      </c>
      <c r="BV123" s="556">
        <v>4.929E-2</v>
      </c>
      <c r="BW123" s="557" t="s">
        <v>2275</v>
      </c>
      <c r="BX123" s="534" t="s">
        <v>2276</v>
      </c>
      <c r="DH123" s="539" t="str">
        <f t="shared" si="62"/>
        <v>Libya</v>
      </c>
      <c r="DI123" s="539" t="str">
        <f t="shared" si="63"/>
        <v>Africa</v>
      </c>
      <c r="DJ123" s="539" t="str">
        <f t="shared" si="64"/>
        <v>Northern Africa</v>
      </c>
      <c r="DL123" s="539" t="s">
        <v>35</v>
      </c>
      <c r="DN123" s="539" t="s">
        <v>2552</v>
      </c>
      <c r="DO123" s="539" t="s">
        <v>2553</v>
      </c>
    </row>
    <row r="124" spans="3:119">
      <c r="C124" s="463" t="s">
        <v>2573</v>
      </c>
      <c r="D124" s="519"/>
      <c r="E124" s="731">
        <v>0.01</v>
      </c>
      <c r="F124" s="520" t="s">
        <v>2079</v>
      </c>
      <c r="G124" s="521" t="s">
        <v>4368</v>
      </c>
      <c r="AW124" s="1395" t="s">
        <v>2742</v>
      </c>
      <c r="AX124" s="1395" t="s">
        <v>2032</v>
      </c>
      <c r="AY124" s="1396" t="s">
        <v>2088</v>
      </c>
      <c r="AZ124" s="1395">
        <v>404</v>
      </c>
      <c r="BA124" s="527" t="s">
        <v>1977</v>
      </c>
      <c r="BB124" s="535">
        <v>6.9938442951861814</v>
      </c>
      <c r="BC124" s="534" t="s">
        <v>2006</v>
      </c>
      <c r="BD124" s="548">
        <v>0.08</v>
      </c>
      <c r="BE124" s="548">
        <v>0.08</v>
      </c>
      <c r="BF124" s="534" t="s">
        <v>2179</v>
      </c>
      <c r="BG124" s="536"/>
      <c r="BH124" s="537">
        <f t="shared" si="54"/>
        <v>16.5</v>
      </c>
      <c r="BI124" s="537">
        <f t="shared" si="55"/>
        <v>2.5</v>
      </c>
      <c r="BJ124" s="537">
        <f t="shared" si="56"/>
        <v>51.1</v>
      </c>
      <c r="BK124" s="537">
        <f t="shared" si="57"/>
        <v>2</v>
      </c>
      <c r="BL124" s="537">
        <f t="shared" si="58"/>
        <v>9.5</v>
      </c>
      <c r="BM124" s="537">
        <f t="shared" si="59"/>
        <v>5.6</v>
      </c>
      <c r="BN124" s="537">
        <f t="shared" si="60"/>
        <v>4.5</v>
      </c>
      <c r="BO124" s="537">
        <f t="shared" si="61"/>
        <v>8.3000000000000114</v>
      </c>
      <c r="BP124" s="537">
        <f t="shared" si="42"/>
        <v>100</v>
      </c>
      <c r="BQ124" s="534" t="s">
        <v>1979</v>
      </c>
      <c r="BR124" s="556">
        <v>8.8539999999999994E-2</v>
      </c>
      <c r="BS124" s="556">
        <v>8.8539999999999994E-2</v>
      </c>
      <c r="BT124" s="556">
        <v>1.719E-2</v>
      </c>
      <c r="BU124" s="556">
        <v>7.3859999999999995E-2</v>
      </c>
      <c r="BV124" s="556">
        <v>4.929E-2</v>
      </c>
      <c r="BW124" s="557" t="s">
        <v>2275</v>
      </c>
      <c r="BX124" s="534" t="s">
        <v>2276</v>
      </c>
      <c r="DH124" s="539" t="str">
        <f t="shared" si="62"/>
        <v>Morocco</v>
      </c>
      <c r="DI124" s="539" t="str">
        <f t="shared" si="63"/>
        <v>Africa</v>
      </c>
      <c r="DJ124" s="539" t="str">
        <f t="shared" si="64"/>
        <v>Northern Africa</v>
      </c>
      <c r="DL124" s="539" t="s">
        <v>35</v>
      </c>
      <c r="DN124" s="539" t="s">
        <v>2555</v>
      </c>
      <c r="DO124" s="539" t="s">
        <v>25</v>
      </c>
    </row>
    <row r="125" spans="3:119">
      <c r="C125" s="463" t="s">
        <v>2577</v>
      </c>
      <c r="D125" s="519"/>
      <c r="E125" s="731">
        <v>0</v>
      </c>
      <c r="F125" s="520" t="s">
        <v>2079</v>
      </c>
      <c r="G125" s="521" t="s">
        <v>4368</v>
      </c>
      <c r="M125" s="558"/>
      <c r="N125" s="558"/>
      <c r="O125" s="558"/>
      <c r="P125" s="558"/>
      <c r="Q125" s="558"/>
      <c r="R125" s="558"/>
      <c r="S125" s="558"/>
      <c r="T125" s="558"/>
      <c r="U125" s="558"/>
      <c r="V125" s="558"/>
      <c r="AW125" s="1395" t="s">
        <v>2336</v>
      </c>
      <c r="AX125" s="1395" t="s">
        <v>2005</v>
      </c>
      <c r="AY125" s="1396" t="s">
        <v>2128</v>
      </c>
      <c r="AZ125" s="1395">
        <v>422</v>
      </c>
      <c r="BA125" s="527" t="s">
        <v>1977</v>
      </c>
      <c r="BB125" s="535">
        <v>26.7458777885548</v>
      </c>
      <c r="BC125" s="534" t="s">
        <v>2006</v>
      </c>
      <c r="BD125" s="536"/>
      <c r="BE125" s="536"/>
      <c r="BF125" s="534"/>
      <c r="BG125" s="536"/>
      <c r="BH125" s="537">
        <f t="shared" si="54"/>
        <v>30.6</v>
      </c>
      <c r="BI125" s="537">
        <f t="shared" si="55"/>
        <v>2</v>
      </c>
      <c r="BJ125" s="537">
        <f t="shared" si="56"/>
        <v>23.8</v>
      </c>
      <c r="BK125" s="537">
        <f t="shared" si="57"/>
        <v>10</v>
      </c>
      <c r="BL125" s="537">
        <f t="shared" si="58"/>
        <v>9.5</v>
      </c>
      <c r="BM125" s="537">
        <f t="shared" si="59"/>
        <v>5.6</v>
      </c>
      <c r="BN125" s="537">
        <f t="shared" si="60"/>
        <v>13</v>
      </c>
      <c r="BO125" s="537">
        <f t="shared" si="61"/>
        <v>5.5</v>
      </c>
      <c r="BP125" s="537">
        <f t="shared" si="42"/>
        <v>100</v>
      </c>
      <c r="BQ125" s="534" t="s">
        <v>1979</v>
      </c>
      <c r="BR125" s="556">
        <v>8.8539999999999994E-2</v>
      </c>
      <c r="BS125" s="556">
        <v>8.8539999999999994E-2</v>
      </c>
      <c r="BT125" s="556">
        <v>1.719E-2</v>
      </c>
      <c r="BU125" s="556">
        <v>7.3859999999999995E-2</v>
      </c>
      <c r="BV125" s="556">
        <v>4.929E-2</v>
      </c>
      <c r="BW125" s="557" t="s">
        <v>2275</v>
      </c>
      <c r="BX125" s="534" t="s">
        <v>2276</v>
      </c>
      <c r="DH125" s="539" t="str">
        <f t="shared" si="62"/>
        <v>Tunisia</v>
      </c>
      <c r="DI125" s="539" t="str">
        <f t="shared" si="63"/>
        <v>Africa</v>
      </c>
      <c r="DJ125" s="539" t="str">
        <f t="shared" si="64"/>
        <v>Northern Africa</v>
      </c>
      <c r="DK125" s="539" t="e">
        <f>VLOOKUP(DH125,#REF!,1)</f>
        <v>#REF!</v>
      </c>
      <c r="DL125" s="539" t="e">
        <f>VLOOKUP(DK125,#REF!,2,FALSE)</f>
        <v>#REF!</v>
      </c>
      <c r="DN125" s="539" t="s">
        <v>2557</v>
      </c>
      <c r="DO125" s="539" t="s">
        <v>2558</v>
      </c>
    </row>
    <row r="126" spans="3:119">
      <c r="C126" s="463" t="s">
        <v>2582</v>
      </c>
      <c r="D126" s="519"/>
      <c r="E126" s="731">
        <v>0</v>
      </c>
      <c r="F126" s="520" t="s">
        <v>2079</v>
      </c>
      <c r="G126" s="521" t="s">
        <v>4368</v>
      </c>
      <c r="M126" s="558"/>
      <c r="N126" s="558"/>
      <c r="O126" s="558"/>
      <c r="P126" s="558"/>
      <c r="Q126" s="558"/>
      <c r="R126" s="558"/>
      <c r="S126" s="558"/>
      <c r="T126" s="558"/>
      <c r="U126" s="558"/>
      <c r="V126" s="558"/>
      <c r="AW126" s="1395" t="s">
        <v>2395</v>
      </c>
      <c r="AX126" s="1395" t="s">
        <v>2005</v>
      </c>
      <c r="AY126" s="1396" t="s">
        <v>2128</v>
      </c>
      <c r="AZ126" s="1395">
        <v>166.1</v>
      </c>
      <c r="BA126" s="527" t="s">
        <v>2178</v>
      </c>
      <c r="BB126" s="535">
        <v>4.3078172265260761</v>
      </c>
      <c r="BC126" s="534" t="s">
        <v>2006</v>
      </c>
      <c r="BD126" s="536"/>
      <c r="BE126" s="536"/>
      <c r="BF126" s="534"/>
      <c r="BG126" s="536"/>
      <c r="BH126" s="537">
        <f t="shared" si="54"/>
        <v>30.6</v>
      </c>
      <c r="BI126" s="537">
        <f t="shared" si="55"/>
        <v>2</v>
      </c>
      <c r="BJ126" s="537">
        <f t="shared" si="56"/>
        <v>23.8</v>
      </c>
      <c r="BK126" s="537">
        <f t="shared" si="57"/>
        <v>10</v>
      </c>
      <c r="BL126" s="537">
        <f t="shared" si="58"/>
        <v>9.5</v>
      </c>
      <c r="BM126" s="537">
        <f t="shared" si="59"/>
        <v>5.6</v>
      </c>
      <c r="BN126" s="537">
        <f t="shared" si="60"/>
        <v>13</v>
      </c>
      <c r="BO126" s="537">
        <f t="shared" si="61"/>
        <v>5.5</v>
      </c>
      <c r="BP126" s="537">
        <f t="shared" si="42"/>
        <v>100</v>
      </c>
      <c r="BQ126" s="534" t="s">
        <v>1979</v>
      </c>
      <c r="BR126" s="556">
        <v>8.8539999999999994E-2</v>
      </c>
      <c r="BS126" s="556">
        <v>8.8539999999999994E-2</v>
      </c>
      <c r="BT126" s="556">
        <v>1.719E-2</v>
      </c>
      <c r="BU126" s="556">
        <v>7.3859999999999995E-2</v>
      </c>
      <c r="BV126" s="556">
        <v>4.929E-2</v>
      </c>
      <c r="BW126" s="557" t="s">
        <v>2275</v>
      </c>
      <c r="BX126" s="534" t="s">
        <v>2276</v>
      </c>
      <c r="DH126" s="539" t="str">
        <f t="shared" si="62"/>
        <v>Channel Islands</v>
      </c>
      <c r="DI126" s="539" t="str">
        <f t="shared" si="63"/>
        <v>Europe</v>
      </c>
      <c r="DJ126" s="539" t="str">
        <f t="shared" si="64"/>
        <v>Northern Europe</v>
      </c>
      <c r="DL126" s="539" t="s">
        <v>35</v>
      </c>
      <c r="DN126" s="539" t="s">
        <v>2560</v>
      </c>
      <c r="DO126" s="539" t="s">
        <v>2561</v>
      </c>
    </row>
    <row r="127" spans="3:119">
      <c r="C127" s="520" t="s">
        <v>4398</v>
      </c>
      <c r="D127" s="520"/>
      <c r="E127" s="520">
        <v>24300</v>
      </c>
      <c r="F127" s="520" t="s">
        <v>2079</v>
      </c>
      <c r="G127" s="521" t="s">
        <v>4368</v>
      </c>
      <c r="AW127" s="1395" t="s">
        <v>2430</v>
      </c>
      <c r="AX127" s="1395" t="s">
        <v>2005</v>
      </c>
      <c r="AY127" s="1396" t="s">
        <v>2128</v>
      </c>
      <c r="AZ127" s="1395">
        <v>818.9</v>
      </c>
      <c r="BA127" s="527" t="s">
        <v>2178</v>
      </c>
      <c r="BB127" s="535">
        <v>10.746432491767289</v>
      </c>
      <c r="BC127" s="534" t="s">
        <v>2006</v>
      </c>
      <c r="BD127" s="536"/>
      <c r="BE127" s="536"/>
      <c r="BF127" s="534"/>
      <c r="BG127" s="536"/>
      <c r="BH127" s="537">
        <f t="shared" si="54"/>
        <v>30.6</v>
      </c>
      <c r="BI127" s="537">
        <f t="shared" si="55"/>
        <v>2</v>
      </c>
      <c r="BJ127" s="537">
        <f t="shared" si="56"/>
        <v>23.8</v>
      </c>
      <c r="BK127" s="537">
        <f t="shared" si="57"/>
        <v>10</v>
      </c>
      <c r="BL127" s="537">
        <f t="shared" si="58"/>
        <v>9.5</v>
      </c>
      <c r="BM127" s="537">
        <f t="shared" si="59"/>
        <v>5.6</v>
      </c>
      <c r="BN127" s="537">
        <f t="shared" si="60"/>
        <v>13</v>
      </c>
      <c r="BO127" s="537">
        <f t="shared" si="61"/>
        <v>5.5</v>
      </c>
      <c r="BP127" s="537">
        <f t="shared" si="42"/>
        <v>100</v>
      </c>
      <c r="BQ127" s="534" t="s">
        <v>1979</v>
      </c>
      <c r="BR127" s="556">
        <v>8.8539999999999994E-2</v>
      </c>
      <c r="BS127" s="556">
        <v>8.8539999999999994E-2</v>
      </c>
      <c r="BT127" s="556">
        <v>1.719E-2</v>
      </c>
      <c r="BU127" s="556">
        <v>7.3859999999999995E-2</v>
      </c>
      <c r="BV127" s="556">
        <v>4.929E-2</v>
      </c>
      <c r="BW127" s="557" t="s">
        <v>2275</v>
      </c>
      <c r="BX127" s="534" t="s">
        <v>2276</v>
      </c>
      <c r="DH127" s="539" t="str">
        <f t="shared" si="62"/>
        <v>Denmark</v>
      </c>
      <c r="DI127" s="539" t="str">
        <f t="shared" si="63"/>
        <v>Europe</v>
      </c>
      <c r="DJ127" s="539" t="str">
        <f t="shared" si="64"/>
        <v>Northern Europe</v>
      </c>
      <c r="DK127" s="539" t="e">
        <f>VLOOKUP(DH127,#REF!,1)</f>
        <v>#REF!</v>
      </c>
      <c r="DL127" s="539" t="e">
        <f>VLOOKUP(DK127,#REF!,2,FALSE)</f>
        <v>#REF!</v>
      </c>
      <c r="DN127" s="539" t="s">
        <v>2563</v>
      </c>
      <c r="DO127" s="539" t="s">
        <v>2564</v>
      </c>
    </row>
    <row r="128" spans="3:119" ht="25.5">
      <c r="C128" s="520" t="s">
        <v>2934</v>
      </c>
      <c r="D128" s="520"/>
      <c r="E128" s="520">
        <v>18500</v>
      </c>
      <c r="F128" s="520" t="s">
        <v>2079</v>
      </c>
      <c r="G128" s="521" t="s">
        <v>4368</v>
      </c>
      <c r="M128" s="559"/>
      <c r="N128" s="559"/>
      <c r="O128" s="559"/>
      <c r="P128" s="559"/>
      <c r="Q128" s="559"/>
      <c r="R128" s="559"/>
      <c r="S128" s="559"/>
      <c r="T128" s="559"/>
      <c r="U128" s="559"/>
      <c r="V128" s="559"/>
      <c r="AW128" s="1395" t="s">
        <v>2442</v>
      </c>
      <c r="AX128" s="1395" t="s">
        <v>2005</v>
      </c>
      <c r="AY128" s="1396" t="s">
        <v>2128</v>
      </c>
      <c r="AZ128" s="1395">
        <v>362</v>
      </c>
      <c r="BA128" s="527" t="s">
        <v>1977</v>
      </c>
      <c r="BB128" s="535">
        <v>6.7403966954734083</v>
      </c>
      <c r="BC128" s="534" t="s">
        <v>2006</v>
      </c>
      <c r="BD128" s="536"/>
      <c r="BE128" s="536"/>
      <c r="BF128" s="534"/>
      <c r="BG128" s="536"/>
      <c r="BH128" s="537">
        <f t="shared" si="54"/>
        <v>30.6</v>
      </c>
      <c r="BI128" s="537">
        <f t="shared" si="55"/>
        <v>2</v>
      </c>
      <c r="BJ128" s="537">
        <f t="shared" si="56"/>
        <v>23.8</v>
      </c>
      <c r="BK128" s="537">
        <f t="shared" si="57"/>
        <v>10</v>
      </c>
      <c r="BL128" s="537">
        <f t="shared" si="58"/>
        <v>9.5</v>
      </c>
      <c r="BM128" s="537">
        <f t="shared" si="59"/>
        <v>5.6</v>
      </c>
      <c r="BN128" s="537">
        <f t="shared" si="60"/>
        <v>13</v>
      </c>
      <c r="BO128" s="537">
        <f t="shared" si="61"/>
        <v>5.5</v>
      </c>
      <c r="BP128" s="537">
        <f t="shared" si="42"/>
        <v>100</v>
      </c>
      <c r="BQ128" s="534" t="s">
        <v>1979</v>
      </c>
      <c r="BR128" s="556">
        <v>8.8539999999999994E-2</v>
      </c>
      <c r="BS128" s="556">
        <v>8.8539999999999994E-2</v>
      </c>
      <c r="BT128" s="556">
        <v>1.719E-2</v>
      </c>
      <c r="BU128" s="556">
        <v>7.3859999999999995E-2</v>
      </c>
      <c r="BV128" s="556">
        <v>4.929E-2</v>
      </c>
      <c r="BW128" s="557" t="s">
        <v>2275</v>
      </c>
      <c r="BX128" s="534" t="s">
        <v>2276</v>
      </c>
      <c r="DH128" s="539" t="str">
        <f t="shared" si="62"/>
        <v>Estonia</v>
      </c>
      <c r="DI128" s="539" t="str">
        <f t="shared" si="63"/>
        <v>Europe</v>
      </c>
      <c r="DJ128" s="539" t="str">
        <f t="shared" si="64"/>
        <v>Northern Europe</v>
      </c>
      <c r="DL128" s="539" t="s">
        <v>35</v>
      </c>
      <c r="DN128" s="539" t="s">
        <v>2566</v>
      </c>
      <c r="DO128" s="539" t="s">
        <v>2567</v>
      </c>
    </row>
    <row r="129" spans="13:119">
      <c r="M129" s="559"/>
      <c r="N129" s="559"/>
      <c r="O129" s="559"/>
      <c r="P129" s="559"/>
      <c r="Q129" s="559"/>
      <c r="R129" s="559"/>
      <c r="S129" s="559"/>
      <c r="T129" s="559"/>
      <c r="U129" s="559"/>
      <c r="V129" s="559"/>
      <c r="AW129" s="1395" t="s">
        <v>2450</v>
      </c>
      <c r="AX129" s="1395" t="s">
        <v>2005</v>
      </c>
      <c r="AY129" s="1396" t="s">
        <v>2128</v>
      </c>
      <c r="AZ129" s="1395">
        <v>112.8</v>
      </c>
      <c r="BA129" s="527" t="s">
        <v>2178</v>
      </c>
      <c r="BB129" s="535">
        <v>17.552387124648952</v>
      </c>
      <c r="BC129" s="534" t="s">
        <v>2006</v>
      </c>
      <c r="BD129" s="536"/>
      <c r="BE129" s="536"/>
      <c r="BF129" s="534"/>
      <c r="BG129" s="536"/>
      <c r="BH129" s="537">
        <f t="shared" si="54"/>
        <v>30.6</v>
      </c>
      <c r="BI129" s="537">
        <f t="shared" si="55"/>
        <v>2</v>
      </c>
      <c r="BJ129" s="537">
        <f t="shared" si="56"/>
        <v>23.8</v>
      </c>
      <c r="BK129" s="537">
        <f t="shared" si="57"/>
        <v>10</v>
      </c>
      <c r="BL129" s="537">
        <f t="shared" si="58"/>
        <v>9.5</v>
      </c>
      <c r="BM129" s="537">
        <f t="shared" si="59"/>
        <v>5.6</v>
      </c>
      <c r="BN129" s="537">
        <f t="shared" si="60"/>
        <v>13</v>
      </c>
      <c r="BO129" s="537">
        <f t="shared" si="61"/>
        <v>5.5</v>
      </c>
      <c r="BP129" s="537">
        <f t="shared" si="42"/>
        <v>100</v>
      </c>
      <c r="BQ129" s="534" t="s">
        <v>1979</v>
      </c>
      <c r="BR129" s="556">
        <v>8.8539999999999994E-2</v>
      </c>
      <c r="BS129" s="556">
        <v>8.8539999999999994E-2</v>
      </c>
      <c r="BT129" s="556">
        <v>1.719E-2</v>
      </c>
      <c r="BU129" s="556">
        <v>7.3859999999999995E-2</v>
      </c>
      <c r="BV129" s="556">
        <v>4.929E-2</v>
      </c>
      <c r="BW129" s="557" t="s">
        <v>2275</v>
      </c>
      <c r="BX129" s="534" t="s">
        <v>2276</v>
      </c>
      <c r="DH129" s="539" t="str">
        <f t="shared" si="62"/>
        <v>Faroe Islands (Denmark)</v>
      </c>
      <c r="DI129" s="539" t="str">
        <f t="shared" si="63"/>
        <v>Europe</v>
      </c>
      <c r="DJ129" s="539" t="str">
        <f t="shared" si="64"/>
        <v>Northern Europe</v>
      </c>
      <c r="DL129" s="539" t="s">
        <v>35</v>
      </c>
      <c r="DN129" s="539" t="s">
        <v>2571</v>
      </c>
      <c r="DO129" s="539" t="s">
        <v>2572</v>
      </c>
    </row>
    <row r="130" spans="13:119" ht="25.5">
      <c r="AW130" s="1395" t="s">
        <v>2530</v>
      </c>
      <c r="AX130" s="1395" t="s">
        <v>2005</v>
      </c>
      <c r="AY130" s="1396" t="s">
        <v>2128</v>
      </c>
      <c r="AZ130" s="1395">
        <v>43</v>
      </c>
      <c r="BA130" s="527" t="s">
        <v>1977</v>
      </c>
      <c r="BB130" s="535">
        <v>5.4123414965002699</v>
      </c>
      <c r="BC130" s="534" t="s">
        <v>2049</v>
      </c>
      <c r="BD130" s="536"/>
      <c r="BE130" s="536"/>
      <c r="BF130" s="534"/>
      <c r="BG130" s="536"/>
      <c r="BH130" s="537">
        <f t="shared" si="54"/>
        <v>30.6</v>
      </c>
      <c r="BI130" s="537">
        <f t="shared" si="55"/>
        <v>2</v>
      </c>
      <c r="BJ130" s="537">
        <f t="shared" si="56"/>
        <v>23.8</v>
      </c>
      <c r="BK130" s="537">
        <f t="shared" si="57"/>
        <v>10</v>
      </c>
      <c r="BL130" s="537">
        <f t="shared" si="58"/>
        <v>9.5</v>
      </c>
      <c r="BM130" s="537">
        <f t="shared" si="59"/>
        <v>5.6</v>
      </c>
      <c r="BN130" s="537">
        <f t="shared" si="60"/>
        <v>13</v>
      </c>
      <c r="BO130" s="537">
        <f t="shared" si="61"/>
        <v>5.5</v>
      </c>
      <c r="BP130" s="537">
        <f t="shared" si="42"/>
        <v>100</v>
      </c>
      <c r="BQ130" s="534" t="s">
        <v>1979</v>
      </c>
      <c r="BR130" s="556">
        <v>8.8539999999999994E-2</v>
      </c>
      <c r="BS130" s="556">
        <v>8.8539999999999994E-2</v>
      </c>
      <c r="BT130" s="556">
        <v>1.719E-2</v>
      </c>
      <c r="BU130" s="556">
        <v>7.3859999999999995E-2</v>
      </c>
      <c r="BV130" s="556">
        <v>4.929E-2</v>
      </c>
      <c r="BW130" s="557" t="s">
        <v>2275</v>
      </c>
      <c r="BX130" s="534" t="s">
        <v>2276</v>
      </c>
      <c r="DH130" s="539" t="str">
        <f t="shared" si="62"/>
        <v>Finland</v>
      </c>
      <c r="DI130" s="539" t="str">
        <f t="shared" si="63"/>
        <v>Europe</v>
      </c>
      <c r="DJ130" s="539" t="str">
        <f t="shared" si="64"/>
        <v>Northern Europe</v>
      </c>
      <c r="DL130" s="539" t="s">
        <v>35</v>
      </c>
      <c r="DN130" s="539" t="s">
        <v>2575</v>
      </c>
      <c r="DO130" s="539" t="s">
        <v>2576</v>
      </c>
    </row>
    <row r="131" spans="13:119">
      <c r="AW131" s="1395" t="s">
        <v>2548</v>
      </c>
      <c r="AX131" s="1395" t="s">
        <v>2005</v>
      </c>
      <c r="AY131" s="1396" t="s">
        <v>2128</v>
      </c>
      <c r="AZ131" s="1395">
        <v>424.9</v>
      </c>
      <c r="BA131" s="527" t="s">
        <v>2178</v>
      </c>
      <c r="BB131" s="535">
        <v>15.813278239991066</v>
      </c>
      <c r="BC131" s="534" t="s">
        <v>2006</v>
      </c>
      <c r="BD131" s="536"/>
      <c r="BE131" s="536"/>
      <c r="BF131" s="534"/>
      <c r="BG131" s="536"/>
      <c r="BH131" s="537">
        <f t="shared" si="54"/>
        <v>30.6</v>
      </c>
      <c r="BI131" s="537">
        <f t="shared" si="55"/>
        <v>2</v>
      </c>
      <c r="BJ131" s="537">
        <f t="shared" si="56"/>
        <v>23.8</v>
      </c>
      <c r="BK131" s="537">
        <f t="shared" si="57"/>
        <v>10</v>
      </c>
      <c r="BL131" s="537">
        <f t="shared" si="58"/>
        <v>9.5</v>
      </c>
      <c r="BM131" s="537">
        <f t="shared" si="59"/>
        <v>5.6</v>
      </c>
      <c r="BN131" s="537">
        <f t="shared" si="60"/>
        <v>13</v>
      </c>
      <c r="BO131" s="537">
        <f t="shared" si="61"/>
        <v>5.5</v>
      </c>
      <c r="BP131" s="537">
        <f t="shared" si="42"/>
        <v>100</v>
      </c>
      <c r="BQ131" s="534" t="s">
        <v>1979</v>
      </c>
      <c r="BR131" s="556">
        <v>8.8539999999999994E-2</v>
      </c>
      <c r="BS131" s="556">
        <v>8.8539999999999994E-2</v>
      </c>
      <c r="BT131" s="556">
        <v>1.719E-2</v>
      </c>
      <c r="BU131" s="556">
        <v>7.3859999999999995E-2</v>
      </c>
      <c r="BV131" s="556">
        <v>4.929E-2</v>
      </c>
      <c r="BW131" s="557" t="s">
        <v>2275</v>
      </c>
      <c r="BX131" s="534" t="s">
        <v>2276</v>
      </c>
      <c r="DH131" s="539" t="str">
        <f t="shared" si="62"/>
        <v>Iceland</v>
      </c>
      <c r="DI131" s="539" t="str">
        <f t="shared" si="63"/>
        <v>Europe</v>
      </c>
      <c r="DJ131" s="539" t="str">
        <f t="shared" si="64"/>
        <v>Northern Europe</v>
      </c>
      <c r="DL131" s="539" t="s">
        <v>35</v>
      </c>
      <c r="DN131" s="539" t="s">
        <v>2580</v>
      </c>
      <c r="DO131" s="539" t="s">
        <v>2581</v>
      </c>
    </row>
    <row r="132" spans="13:119">
      <c r="AW132" s="1395" t="s">
        <v>2551</v>
      </c>
      <c r="AX132" s="1395" t="s">
        <v>2005</v>
      </c>
      <c r="AY132" s="1396" t="s">
        <v>2128</v>
      </c>
      <c r="AZ132" s="1395">
        <v>303</v>
      </c>
      <c r="BA132" s="527" t="s">
        <v>1977</v>
      </c>
      <c r="BB132" s="535">
        <v>3.3469752649917743</v>
      </c>
      <c r="BC132" s="534" t="s">
        <v>2006</v>
      </c>
      <c r="BD132" s="536"/>
      <c r="BE132" s="536"/>
      <c r="BF132" s="534"/>
      <c r="BG132" s="536"/>
      <c r="BH132" s="537">
        <f t="shared" si="54"/>
        <v>30.6</v>
      </c>
      <c r="BI132" s="537">
        <f t="shared" si="55"/>
        <v>2</v>
      </c>
      <c r="BJ132" s="537">
        <f t="shared" si="56"/>
        <v>23.8</v>
      </c>
      <c r="BK132" s="537">
        <f t="shared" si="57"/>
        <v>10</v>
      </c>
      <c r="BL132" s="537">
        <f t="shared" si="58"/>
        <v>9.5</v>
      </c>
      <c r="BM132" s="537">
        <f t="shared" si="59"/>
        <v>5.6</v>
      </c>
      <c r="BN132" s="537">
        <f t="shared" si="60"/>
        <v>13</v>
      </c>
      <c r="BO132" s="537">
        <f t="shared" si="61"/>
        <v>5.5</v>
      </c>
      <c r="BP132" s="537">
        <f t="shared" ref="BP132:BP195" si="65">+SUM(BH132:BO132)</f>
        <v>100</v>
      </c>
      <c r="BQ132" s="534" t="s">
        <v>1979</v>
      </c>
      <c r="BR132" s="556">
        <v>8.8539999999999994E-2</v>
      </c>
      <c r="BS132" s="556">
        <v>8.8539999999999994E-2</v>
      </c>
      <c r="BT132" s="556">
        <v>1.719E-2</v>
      </c>
      <c r="BU132" s="556">
        <v>7.3859999999999995E-2</v>
      </c>
      <c r="BV132" s="556">
        <v>4.929E-2</v>
      </c>
      <c r="BW132" s="557" t="s">
        <v>2275</v>
      </c>
      <c r="BX132" s="534" t="s">
        <v>2276</v>
      </c>
      <c r="DH132" s="539" t="str">
        <f t="shared" si="62"/>
        <v>Ireland</v>
      </c>
      <c r="DI132" s="539" t="str">
        <f t="shared" si="63"/>
        <v>Europe</v>
      </c>
      <c r="DJ132" s="539" t="str">
        <f t="shared" si="64"/>
        <v>Northern Europe</v>
      </c>
      <c r="DL132" s="539" t="s">
        <v>35</v>
      </c>
      <c r="DN132" s="539" t="s">
        <v>2585</v>
      </c>
      <c r="DO132" s="539" t="s">
        <v>2586</v>
      </c>
    </row>
    <row r="133" spans="13:119">
      <c r="AW133" s="1395" t="s">
        <v>2604</v>
      </c>
      <c r="AX133" s="1395" t="s">
        <v>2005</v>
      </c>
      <c r="AY133" s="1396" t="s">
        <v>2128</v>
      </c>
      <c r="AZ133" s="1395">
        <v>104.9</v>
      </c>
      <c r="BA133" s="527" t="s">
        <v>2178</v>
      </c>
      <c r="BB133" s="535">
        <v>15.047829286239883</v>
      </c>
      <c r="BC133" s="534" t="s">
        <v>2006</v>
      </c>
      <c r="BD133" s="536"/>
      <c r="BE133" s="536"/>
      <c r="BF133" s="534"/>
      <c r="BG133" s="536"/>
      <c r="BH133" s="537">
        <f t="shared" si="54"/>
        <v>30.6</v>
      </c>
      <c r="BI133" s="537">
        <f t="shared" si="55"/>
        <v>2</v>
      </c>
      <c r="BJ133" s="537">
        <f t="shared" si="56"/>
        <v>23.8</v>
      </c>
      <c r="BK133" s="537">
        <f t="shared" si="57"/>
        <v>10</v>
      </c>
      <c r="BL133" s="537">
        <f t="shared" si="58"/>
        <v>9.5</v>
      </c>
      <c r="BM133" s="537">
        <f t="shared" si="59"/>
        <v>5.6</v>
      </c>
      <c r="BN133" s="537">
        <f t="shared" si="60"/>
        <v>13</v>
      </c>
      <c r="BO133" s="537">
        <f t="shared" si="61"/>
        <v>5.5</v>
      </c>
      <c r="BP133" s="537">
        <f t="shared" si="65"/>
        <v>100</v>
      </c>
      <c r="BQ133" s="534" t="s">
        <v>1979</v>
      </c>
      <c r="BR133" s="556">
        <v>8.8539999999999994E-2</v>
      </c>
      <c r="BS133" s="556">
        <v>8.8539999999999994E-2</v>
      </c>
      <c r="BT133" s="556">
        <v>1.719E-2</v>
      </c>
      <c r="BU133" s="556">
        <v>7.3859999999999995E-2</v>
      </c>
      <c r="BV133" s="556">
        <v>4.929E-2</v>
      </c>
      <c r="BW133" s="557" t="s">
        <v>2275</v>
      </c>
      <c r="BX133" s="534" t="s">
        <v>2276</v>
      </c>
      <c r="DH133" s="539" t="str">
        <f t="shared" si="62"/>
        <v>Isle of Man</v>
      </c>
      <c r="DI133" s="539" t="str">
        <f t="shared" si="63"/>
        <v>Europe</v>
      </c>
      <c r="DJ133" s="539" t="str">
        <f t="shared" si="64"/>
        <v>Northern Europe</v>
      </c>
      <c r="DK133" s="539" t="s">
        <v>2589</v>
      </c>
      <c r="DL133" s="539" t="e">
        <f>VLOOKUP(DK133,#REF!,2,FALSE)</f>
        <v>#REF!</v>
      </c>
      <c r="DN133" s="539" t="s">
        <v>2590</v>
      </c>
      <c r="DO133" s="539" t="s">
        <v>2591</v>
      </c>
    </row>
    <row r="134" spans="13:119">
      <c r="AW134" s="1395" t="s">
        <v>2622</v>
      </c>
      <c r="AX134" s="1395" t="s">
        <v>2005</v>
      </c>
      <c r="AY134" s="1396" t="s">
        <v>2128</v>
      </c>
      <c r="AZ134" s="1395">
        <v>18</v>
      </c>
      <c r="BA134" s="527" t="s">
        <v>2178</v>
      </c>
      <c r="BB134" s="535">
        <v>11.661037764814246</v>
      </c>
      <c r="BC134" s="534" t="s">
        <v>2006</v>
      </c>
      <c r="BD134" s="536"/>
      <c r="BE134" s="536"/>
      <c r="BF134" s="534"/>
      <c r="BG134" s="536"/>
      <c r="BH134" s="537">
        <f t="shared" si="54"/>
        <v>30.6</v>
      </c>
      <c r="BI134" s="537">
        <f t="shared" si="55"/>
        <v>2</v>
      </c>
      <c r="BJ134" s="537">
        <f t="shared" si="56"/>
        <v>23.8</v>
      </c>
      <c r="BK134" s="537">
        <f t="shared" si="57"/>
        <v>10</v>
      </c>
      <c r="BL134" s="537">
        <f t="shared" si="58"/>
        <v>9.5</v>
      </c>
      <c r="BM134" s="537">
        <f t="shared" si="59"/>
        <v>5.6</v>
      </c>
      <c r="BN134" s="537">
        <f t="shared" si="60"/>
        <v>13</v>
      </c>
      <c r="BO134" s="537">
        <f t="shared" si="61"/>
        <v>5.5</v>
      </c>
      <c r="BP134" s="537">
        <f t="shared" si="65"/>
        <v>100</v>
      </c>
      <c r="BQ134" s="534" t="s">
        <v>1979</v>
      </c>
      <c r="BR134" s="556">
        <v>8.8539999999999994E-2</v>
      </c>
      <c r="BS134" s="556">
        <v>8.8539999999999994E-2</v>
      </c>
      <c r="BT134" s="556">
        <v>1.719E-2</v>
      </c>
      <c r="BU134" s="556">
        <v>7.3859999999999995E-2</v>
      </c>
      <c r="BV134" s="556">
        <v>4.929E-2</v>
      </c>
      <c r="BW134" s="557" t="s">
        <v>2275</v>
      </c>
      <c r="BX134" s="534" t="s">
        <v>2276</v>
      </c>
      <c r="DH134" s="539" t="str">
        <f t="shared" si="62"/>
        <v>Latvia</v>
      </c>
      <c r="DI134" s="539" t="str">
        <f t="shared" si="63"/>
        <v>Europe</v>
      </c>
      <c r="DJ134" s="539" t="str">
        <f t="shared" si="64"/>
        <v>Northern Europe</v>
      </c>
      <c r="DL134" s="539" t="s">
        <v>35</v>
      </c>
      <c r="DN134" s="539" t="s">
        <v>2593</v>
      </c>
      <c r="DO134" s="539" t="s">
        <v>2594</v>
      </c>
    </row>
    <row r="135" spans="13:119">
      <c r="AW135" s="1395" t="s">
        <v>2694</v>
      </c>
      <c r="AX135" s="1395" t="s">
        <v>2005</v>
      </c>
      <c r="AY135" s="1396" t="s">
        <v>2128</v>
      </c>
      <c r="AZ135" s="1395">
        <v>61</v>
      </c>
      <c r="BA135" s="527" t="s">
        <v>1977</v>
      </c>
      <c r="BB135" s="535">
        <v>23.730441943453197</v>
      </c>
      <c r="BC135" s="534" t="s">
        <v>2006</v>
      </c>
      <c r="BD135" s="536"/>
      <c r="BE135" s="536"/>
      <c r="BF135" s="534"/>
      <c r="BG135" s="536"/>
      <c r="BH135" s="537">
        <f t="shared" si="54"/>
        <v>30.6</v>
      </c>
      <c r="BI135" s="537">
        <f t="shared" si="55"/>
        <v>2</v>
      </c>
      <c r="BJ135" s="537">
        <f t="shared" si="56"/>
        <v>23.8</v>
      </c>
      <c r="BK135" s="537">
        <f t="shared" si="57"/>
        <v>10</v>
      </c>
      <c r="BL135" s="537">
        <f t="shared" si="58"/>
        <v>9.5</v>
      </c>
      <c r="BM135" s="537">
        <f t="shared" si="59"/>
        <v>5.6</v>
      </c>
      <c r="BN135" s="537">
        <f t="shared" si="60"/>
        <v>13</v>
      </c>
      <c r="BO135" s="537">
        <f t="shared" si="61"/>
        <v>5.5</v>
      </c>
      <c r="BP135" s="537">
        <f t="shared" si="65"/>
        <v>100</v>
      </c>
      <c r="BQ135" s="534" t="s">
        <v>1979</v>
      </c>
      <c r="BR135" s="556">
        <v>8.8539999999999994E-2</v>
      </c>
      <c r="BS135" s="556">
        <v>8.8539999999999994E-2</v>
      </c>
      <c r="BT135" s="556">
        <v>1.719E-2</v>
      </c>
      <c r="BU135" s="556">
        <v>7.3859999999999995E-2</v>
      </c>
      <c r="BV135" s="556">
        <v>4.929E-2</v>
      </c>
      <c r="BW135" s="557" t="s">
        <v>2275</v>
      </c>
      <c r="BX135" s="534" t="s">
        <v>2276</v>
      </c>
      <c r="DH135" s="539" t="str">
        <f t="shared" si="62"/>
        <v>Lithuania</v>
      </c>
      <c r="DI135" s="539" t="str">
        <f t="shared" si="63"/>
        <v>Europe</v>
      </c>
      <c r="DJ135" s="539" t="str">
        <f t="shared" si="64"/>
        <v>Northern Europe</v>
      </c>
      <c r="DL135" s="539" t="s">
        <v>35</v>
      </c>
      <c r="DN135" s="539" t="s">
        <v>2596</v>
      </c>
      <c r="DO135" s="539" t="s">
        <v>2597</v>
      </c>
    </row>
    <row r="136" spans="13:119" ht="25.5">
      <c r="AW136" s="1395" t="s">
        <v>2732</v>
      </c>
      <c r="AX136" s="1395" t="s">
        <v>2005</v>
      </c>
      <c r="AY136" s="1396" t="s">
        <v>2128</v>
      </c>
      <c r="AZ136" s="1395">
        <v>13.3</v>
      </c>
      <c r="BA136" s="527" t="s">
        <v>2178</v>
      </c>
      <c r="BB136" s="535">
        <v>5.4123414965002699</v>
      </c>
      <c r="BC136" s="534" t="s">
        <v>2049</v>
      </c>
      <c r="BD136" s="536"/>
      <c r="BE136" s="536"/>
      <c r="BF136" s="534"/>
      <c r="BG136" s="536"/>
      <c r="BH136" s="537">
        <f t="shared" si="54"/>
        <v>30.6</v>
      </c>
      <c r="BI136" s="537">
        <f t="shared" si="55"/>
        <v>2</v>
      </c>
      <c r="BJ136" s="537">
        <f t="shared" si="56"/>
        <v>23.8</v>
      </c>
      <c r="BK136" s="537">
        <f t="shared" si="57"/>
        <v>10</v>
      </c>
      <c r="BL136" s="537">
        <f t="shared" si="58"/>
        <v>9.5</v>
      </c>
      <c r="BM136" s="537">
        <f t="shared" si="59"/>
        <v>5.6</v>
      </c>
      <c r="BN136" s="537">
        <f t="shared" si="60"/>
        <v>13</v>
      </c>
      <c r="BO136" s="537">
        <f t="shared" si="61"/>
        <v>5.5</v>
      </c>
      <c r="BP136" s="537">
        <f t="shared" si="65"/>
        <v>100</v>
      </c>
      <c r="BQ136" s="534" t="s">
        <v>1979</v>
      </c>
      <c r="BR136" s="556">
        <v>8.8539999999999994E-2</v>
      </c>
      <c r="BS136" s="556">
        <v>8.8539999999999994E-2</v>
      </c>
      <c r="BT136" s="556">
        <v>1.719E-2</v>
      </c>
      <c r="BU136" s="556">
        <v>7.3859999999999995E-2</v>
      </c>
      <c r="BV136" s="556">
        <v>4.929E-2</v>
      </c>
      <c r="BW136" s="557" t="s">
        <v>2275</v>
      </c>
      <c r="BX136" s="534" t="s">
        <v>2276</v>
      </c>
      <c r="DH136" s="539" t="str">
        <f t="shared" si="62"/>
        <v>Norway</v>
      </c>
      <c r="DI136" s="539" t="str">
        <f t="shared" si="63"/>
        <v>Europe</v>
      </c>
      <c r="DJ136" s="539" t="str">
        <f t="shared" si="64"/>
        <v>Northern Europe</v>
      </c>
      <c r="DL136" s="539" t="s">
        <v>35</v>
      </c>
      <c r="DN136" s="539" t="s">
        <v>2599</v>
      </c>
      <c r="DO136" s="539" t="s">
        <v>2600</v>
      </c>
    </row>
    <row r="137" spans="13:119">
      <c r="AW137" s="1395" t="s">
        <v>2749</v>
      </c>
      <c r="AX137" s="1395" t="s">
        <v>2005</v>
      </c>
      <c r="AY137" s="1396" t="s">
        <v>2128</v>
      </c>
      <c r="AZ137" s="1395">
        <v>233.14</v>
      </c>
      <c r="BA137" s="527" t="s">
        <v>2750</v>
      </c>
      <c r="BB137" s="535">
        <v>9.0449328924333781</v>
      </c>
      <c r="BC137" s="534" t="s">
        <v>2006</v>
      </c>
      <c r="BD137" s="536"/>
      <c r="BE137" s="536"/>
      <c r="BF137" s="534"/>
      <c r="BG137" s="536"/>
      <c r="BH137" s="537">
        <f t="shared" si="54"/>
        <v>30.6</v>
      </c>
      <c r="BI137" s="537">
        <f t="shared" si="55"/>
        <v>2</v>
      </c>
      <c r="BJ137" s="537">
        <f t="shared" si="56"/>
        <v>23.8</v>
      </c>
      <c r="BK137" s="537">
        <f t="shared" si="57"/>
        <v>10</v>
      </c>
      <c r="BL137" s="537">
        <f t="shared" si="58"/>
        <v>9.5</v>
      </c>
      <c r="BM137" s="537">
        <f t="shared" si="59"/>
        <v>5.6</v>
      </c>
      <c r="BN137" s="537">
        <f t="shared" si="60"/>
        <v>13</v>
      </c>
      <c r="BO137" s="537">
        <f t="shared" si="61"/>
        <v>5.5</v>
      </c>
      <c r="BP137" s="537">
        <f t="shared" si="65"/>
        <v>100</v>
      </c>
      <c r="BQ137" s="534" t="s">
        <v>1979</v>
      </c>
      <c r="BR137" s="556">
        <v>8.8539999999999994E-2</v>
      </c>
      <c r="BS137" s="556">
        <v>8.8539999999999994E-2</v>
      </c>
      <c r="BT137" s="556">
        <v>1.719E-2</v>
      </c>
      <c r="BU137" s="556">
        <v>7.3859999999999995E-2</v>
      </c>
      <c r="BV137" s="556">
        <v>4.929E-2</v>
      </c>
      <c r="BW137" s="557" t="s">
        <v>2275</v>
      </c>
      <c r="BX137" s="534" t="s">
        <v>2276</v>
      </c>
      <c r="DH137" s="539" t="str">
        <f t="shared" si="62"/>
        <v>Sweden</v>
      </c>
      <c r="DI137" s="539" t="str">
        <f t="shared" si="63"/>
        <v>Europe</v>
      </c>
      <c r="DJ137" s="539" t="str">
        <f t="shared" si="64"/>
        <v>Northern Europe</v>
      </c>
      <c r="DL137" s="539" t="s">
        <v>35</v>
      </c>
      <c r="DN137" s="539" t="s">
        <v>2602</v>
      </c>
      <c r="DO137" s="539" t="s">
        <v>2603</v>
      </c>
    </row>
    <row r="138" spans="13:119">
      <c r="AW138" s="1395" t="s">
        <v>2362</v>
      </c>
      <c r="AX138" s="1394" t="s">
        <v>2048</v>
      </c>
      <c r="AY138" s="1396" t="s">
        <v>2147</v>
      </c>
      <c r="AZ138" s="1395">
        <v>326</v>
      </c>
      <c r="BA138" s="527" t="s">
        <v>1977</v>
      </c>
      <c r="BB138" s="535">
        <v>10.466800356506239</v>
      </c>
      <c r="BC138" s="534" t="s">
        <v>2006</v>
      </c>
      <c r="BD138" s="536"/>
      <c r="BE138" s="536"/>
      <c r="BF138" s="534"/>
      <c r="BG138" s="536"/>
      <c r="BH138" s="537">
        <f t="shared" si="54"/>
        <v>6</v>
      </c>
      <c r="BI138" s="537">
        <f t="shared" si="55"/>
        <v>2.97</v>
      </c>
      <c r="BJ138" s="537">
        <f t="shared" si="56"/>
        <v>67.5</v>
      </c>
      <c r="BK138" s="537">
        <f t="shared" si="57"/>
        <v>2.5</v>
      </c>
      <c r="BL138" s="537">
        <f t="shared" si="58"/>
        <v>9.5</v>
      </c>
      <c r="BM138" s="537">
        <f t="shared" si="59"/>
        <v>5.6</v>
      </c>
      <c r="BN138" s="537">
        <f t="shared" si="60"/>
        <v>2.97</v>
      </c>
      <c r="BO138" s="537">
        <f t="shared" si="61"/>
        <v>2.9666666666666668</v>
      </c>
      <c r="BP138" s="537">
        <f t="shared" si="65"/>
        <v>100.00666666666666</v>
      </c>
      <c r="BQ138" s="534" t="s">
        <v>1979</v>
      </c>
      <c r="BR138" s="556">
        <v>8.8539999999999994E-2</v>
      </c>
      <c r="BS138" s="556">
        <v>8.8539999999999994E-2</v>
      </c>
      <c r="BT138" s="556">
        <v>1.719E-2</v>
      </c>
      <c r="BU138" s="556">
        <v>7.3859999999999995E-2</v>
      </c>
      <c r="BV138" s="556">
        <v>4.929E-2</v>
      </c>
      <c r="BW138" s="557" t="s">
        <v>2275</v>
      </c>
      <c r="BX138" s="534" t="s">
        <v>2276</v>
      </c>
      <c r="DH138" s="539" t="str">
        <f t="shared" si="62"/>
        <v>United Kingdom</v>
      </c>
      <c r="DI138" s="539" t="str">
        <f t="shared" si="63"/>
        <v>Europe</v>
      </c>
      <c r="DJ138" s="539" t="str">
        <f t="shared" si="64"/>
        <v>Northern Europe</v>
      </c>
      <c r="DK138" s="539" t="e">
        <f>VLOOKUP(DH138,#REF!,1)</f>
        <v>#REF!</v>
      </c>
      <c r="DL138" s="539" t="e">
        <f>VLOOKUP(DK138,#REF!,2,FALSE)</f>
        <v>#REF!</v>
      </c>
      <c r="DN138" s="539" t="s">
        <v>2605</v>
      </c>
      <c r="DO138" s="539" t="s">
        <v>2606</v>
      </c>
    </row>
    <row r="139" spans="13:119" ht="25.5">
      <c r="AW139" s="1395" t="s">
        <v>2446</v>
      </c>
      <c r="AX139" s="1394" t="s">
        <v>2048</v>
      </c>
      <c r="AY139" s="1396" t="s">
        <v>2147</v>
      </c>
      <c r="AZ139" s="1395">
        <v>428</v>
      </c>
      <c r="BA139" s="527" t="s">
        <v>1977</v>
      </c>
      <c r="BB139" s="535">
        <v>11.740747004194485</v>
      </c>
      <c r="BC139" s="534" t="s">
        <v>2263</v>
      </c>
      <c r="BD139" s="536"/>
      <c r="BE139" s="536"/>
      <c r="BF139" s="534"/>
      <c r="BG139" s="536"/>
      <c r="BH139" s="537">
        <f t="shared" ref="BH139:BH158" si="66">+VLOOKUP($AY139,$BZ$3:$CH$21,2,FALSE)</f>
        <v>6</v>
      </c>
      <c r="BI139" s="537">
        <f t="shared" ref="BI139:BI158" si="67">+VLOOKUP($AY139,$BZ$3:$CH$21,3,FALSE)</f>
        <v>2.97</v>
      </c>
      <c r="BJ139" s="537">
        <f t="shared" ref="BJ139:BJ158" si="68">+VLOOKUP($AY139,$BZ$3:$CH$21,4,FALSE)</f>
        <v>67.5</v>
      </c>
      <c r="BK139" s="537">
        <f t="shared" ref="BK139:BK158" si="69">+VLOOKUP($AY139,$BZ$3:$CH$21,5,FALSE)</f>
        <v>2.5</v>
      </c>
      <c r="BL139" s="537">
        <f t="shared" ref="BL139:BL158" si="70">+VLOOKUP($AY139,$BZ$3:$CH$21,6,FALSE)</f>
        <v>9.5</v>
      </c>
      <c r="BM139" s="537">
        <f t="shared" ref="BM139:BM158" si="71">+VLOOKUP($AY139,$BZ$3:$CH$21,7,FALSE)</f>
        <v>5.6</v>
      </c>
      <c r="BN139" s="537">
        <f t="shared" ref="BN139:BN158" si="72">+VLOOKUP($AY139,$BZ$3:$CH$21,8,FALSE)</f>
        <v>2.97</v>
      </c>
      <c r="BO139" s="537">
        <f t="shared" ref="BO139:BO158" si="73">+VLOOKUP($AY139,$BZ$3:$CH$21,9,FALSE)</f>
        <v>2.9666666666666668</v>
      </c>
      <c r="BP139" s="537">
        <f t="shared" si="65"/>
        <v>100.00666666666666</v>
      </c>
      <c r="BQ139" s="534" t="s">
        <v>1979</v>
      </c>
      <c r="BR139" s="556">
        <v>8.8539999999999994E-2</v>
      </c>
      <c r="BS139" s="556">
        <v>8.8539999999999994E-2</v>
      </c>
      <c r="BT139" s="556">
        <v>1.719E-2</v>
      </c>
      <c r="BU139" s="556">
        <v>7.3859999999999995E-2</v>
      </c>
      <c r="BV139" s="556">
        <v>4.929E-2</v>
      </c>
      <c r="BW139" s="557" t="s">
        <v>2275</v>
      </c>
      <c r="BX139" s="534" t="s">
        <v>2276</v>
      </c>
      <c r="DH139" s="539" t="str">
        <f t="shared" si="62"/>
        <v>Cook Islands</v>
      </c>
      <c r="DI139" s="539" t="str">
        <f t="shared" si="63"/>
        <v>Oceania</v>
      </c>
      <c r="DJ139" s="539" t="str">
        <f t="shared" si="64"/>
        <v>Rest of Oceania</v>
      </c>
      <c r="DL139" s="539" t="s">
        <v>35</v>
      </c>
      <c r="DN139" s="539" t="s">
        <v>2608</v>
      </c>
      <c r="DO139" s="539" t="s">
        <v>2609</v>
      </c>
    </row>
    <row r="140" spans="13:119" ht="25.5">
      <c r="AW140" s="1395" t="s">
        <v>2461</v>
      </c>
      <c r="AX140" s="1394" t="s">
        <v>2048</v>
      </c>
      <c r="AY140" s="1396" t="s">
        <v>2147</v>
      </c>
      <c r="AZ140" s="1395">
        <v>443</v>
      </c>
      <c r="BA140" s="527" t="s">
        <v>1977</v>
      </c>
      <c r="BB140" s="535">
        <v>13.490630673342661</v>
      </c>
      <c r="BC140" s="534" t="s">
        <v>2223</v>
      </c>
      <c r="BD140" s="536"/>
      <c r="BE140" s="536"/>
      <c r="BF140" s="534"/>
      <c r="BG140" s="536"/>
      <c r="BH140" s="537">
        <f t="shared" si="66"/>
        <v>6</v>
      </c>
      <c r="BI140" s="537">
        <f t="shared" si="67"/>
        <v>2.97</v>
      </c>
      <c r="BJ140" s="537">
        <f t="shared" si="68"/>
        <v>67.5</v>
      </c>
      <c r="BK140" s="537">
        <f t="shared" si="69"/>
        <v>2.5</v>
      </c>
      <c r="BL140" s="537">
        <f t="shared" si="70"/>
        <v>9.5</v>
      </c>
      <c r="BM140" s="537">
        <f t="shared" si="71"/>
        <v>5.6</v>
      </c>
      <c r="BN140" s="537">
        <f t="shared" si="72"/>
        <v>2.97</v>
      </c>
      <c r="BO140" s="537">
        <f t="shared" si="73"/>
        <v>2.9666666666666668</v>
      </c>
      <c r="BP140" s="537">
        <f t="shared" si="65"/>
        <v>100.00666666666666</v>
      </c>
      <c r="BQ140" s="534" t="s">
        <v>1979</v>
      </c>
      <c r="BR140" s="556">
        <v>8.8539999999999994E-2</v>
      </c>
      <c r="BS140" s="556">
        <v>8.8539999999999994E-2</v>
      </c>
      <c r="BT140" s="556">
        <v>1.719E-2</v>
      </c>
      <c r="BU140" s="556">
        <v>7.3859999999999995E-2</v>
      </c>
      <c r="BV140" s="556">
        <v>4.929E-2</v>
      </c>
      <c r="BW140" s="557" t="s">
        <v>2275</v>
      </c>
      <c r="BX140" s="534" t="s">
        <v>2276</v>
      </c>
      <c r="DH140" s="539" t="str">
        <f t="shared" ref="DH140:DH171" si="74">AW139</f>
        <v>Fiji</v>
      </c>
      <c r="DI140" s="539" t="str">
        <f t="shared" ref="DI140:DI171" si="75">AX139</f>
        <v>Oceania</v>
      </c>
      <c r="DJ140" s="539" t="str">
        <f t="shared" ref="DJ140:DJ171" si="76">AY139</f>
        <v>Rest of Oceania</v>
      </c>
      <c r="DL140" s="539" t="s">
        <v>35</v>
      </c>
      <c r="DN140" s="539" t="s">
        <v>2611</v>
      </c>
      <c r="DO140" s="539" t="s">
        <v>2612</v>
      </c>
    </row>
    <row r="141" spans="13:119">
      <c r="AW141" s="1395" t="s">
        <v>2496</v>
      </c>
      <c r="AX141" s="1394" t="s">
        <v>2048</v>
      </c>
      <c r="AY141" s="1396" t="s">
        <v>2147</v>
      </c>
      <c r="AZ141" s="1395">
        <v>447</v>
      </c>
      <c r="BA141" s="527" t="s">
        <v>1977</v>
      </c>
      <c r="BB141" s="535">
        <v>69.696005936762873</v>
      </c>
      <c r="BC141" s="534" t="s">
        <v>2006</v>
      </c>
      <c r="BD141" s="536"/>
      <c r="BE141" s="536"/>
      <c r="BF141" s="534"/>
      <c r="BG141" s="536"/>
      <c r="BH141" s="537">
        <f t="shared" si="66"/>
        <v>6</v>
      </c>
      <c r="BI141" s="537">
        <f t="shared" si="67"/>
        <v>2.97</v>
      </c>
      <c r="BJ141" s="537">
        <f t="shared" si="68"/>
        <v>67.5</v>
      </c>
      <c r="BK141" s="537">
        <f t="shared" si="69"/>
        <v>2.5</v>
      </c>
      <c r="BL141" s="537">
        <f t="shared" si="70"/>
        <v>9.5</v>
      </c>
      <c r="BM141" s="537">
        <f t="shared" si="71"/>
        <v>5.6</v>
      </c>
      <c r="BN141" s="537">
        <f t="shared" si="72"/>
        <v>2.97</v>
      </c>
      <c r="BO141" s="537">
        <f t="shared" si="73"/>
        <v>2.9666666666666668</v>
      </c>
      <c r="BP141" s="537">
        <f t="shared" si="65"/>
        <v>100.00666666666666</v>
      </c>
      <c r="BQ141" s="534" t="s">
        <v>1979</v>
      </c>
      <c r="BR141" s="556">
        <v>8.8539999999999994E-2</v>
      </c>
      <c r="BS141" s="556">
        <v>8.8539999999999994E-2</v>
      </c>
      <c r="BT141" s="556">
        <v>1.719E-2</v>
      </c>
      <c r="BU141" s="556">
        <v>7.3859999999999995E-2</v>
      </c>
      <c r="BV141" s="556">
        <v>4.929E-2</v>
      </c>
      <c r="BW141" s="557" t="s">
        <v>2275</v>
      </c>
      <c r="BX141" s="534" t="s">
        <v>2276</v>
      </c>
      <c r="DH141" s="539" t="str">
        <f t="shared" si="74"/>
        <v>French Polynesia</v>
      </c>
      <c r="DI141" s="539" t="str">
        <f t="shared" si="75"/>
        <v>Oceania</v>
      </c>
      <c r="DJ141" s="539" t="str">
        <f t="shared" si="76"/>
        <v>Rest of Oceania</v>
      </c>
      <c r="DL141" s="539" t="s">
        <v>35</v>
      </c>
      <c r="DN141" s="539" t="s">
        <v>2614</v>
      </c>
      <c r="DO141" s="539" t="s">
        <v>2615</v>
      </c>
    </row>
    <row r="142" spans="13:119" ht="25.5">
      <c r="AW142" s="1395" t="s">
        <v>2579</v>
      </c>
      <c r="AX142" s="1394" t="s">
        <v>2048</v>
      </c>
      <c r="AY142" s="1396" t="s">
        <v>2147</v>
      </c>
      <c r="AZ142" s="1395">
        <v>602</v>
      </c>
      <c r="BA142" s="527" t="s">
        <v>1977</v>
      </c>
      <c r="BB142" s="535">
        <v>6.2171813834411278</v>
      </c>
      <c r="BC142" s="534" t="s">
        <v>2062</v>
      </c>
      <c r="BD142" s="536"/>
      <c r="BE142" s="536"/>
      <c r="BF142" s="534"/>
      <c r="BG142" s="536"/>
      <c r="BH142" s="537">
        <f t="shared" si="66"/>
        <v>6</v>
      </c>
      <c r="BI142" s="537">
        <f t="shared" si="67"/>
        <v>2.97</v>
      </c>
      <c r="BJ142" s="537">
        <f t="shared" si="68"/>
        <v>67.5</v>
      </c>
      <c r="BK142" s="537">
        <f t="shared" si="69"/>
        <v>2.5</v>
      </c>
      <c r="BL142" s="537">
        <f t="shared" si="70"/>
        <v>9.5</v>
      </c>
      <c r="BM142" s="537">
        <f t="shared" si="71"/>
        <v>5.6</v>
      </c>
      <c r="BN142" s="537">
        <f t="shared" si="72"/>
        <v>2.97</v>
      </c>
      <c r="BO142" s="537">
        <f t="shared" si="73"/>
        <v>2.9666666666666668</v>
      </c>
      <c r="BP142" s="537">
        <f t="shared" si="65"/>
        <v>100.00666666666666</v>
      </c>
      <c r="BQ142" s="534" t="s">
        <v>1979</v>
      </c>
      <c r="BR142" s="556">
        <v>8.8539999999999994E-2</v>
      </c>
      <c r="BS142" s="556">
        <v>8.8539999999999994E-2</v>
      </c>
      <c r="BT142" s="556">
        <v>1.719E-2</v>
      </c>
      <c r="BU142" s="556">
        <v>7.3859999999999995E-2</v>
      </c>
      <c r="BV142" s="556">
        <v>4.929E-2</v>
      </c>
      <c r="BW142" s="557" t="s">
        <v>2275</v>
      </c>
      <c r="BX142" s="534" t="s">
        <v>2276</v>
      </c>
      <c r="DH142" s="539" t="str">
        <f t="shared" si="74"/>
        <v>Guam</v>
      </c>
      <c r="DI142" s="539" t="str">
        <f t="shared" si="75"/>
        <v>Oceania</v>
      </c>
      <c r="DJ142" s="539" t="str">
        <f t="shared" si="76"/>
        <v>Rest of Oceania</v>
      </c>
      <c r="DL142" s="539" t="s">
        <v>35</v>
      </c>
      <c r="DN142" s="539" t="s">
        <v>2617</v>
      </c>
      <c r="DO142" s="539" t="s">
        <v>2618</v>
      </c>
    </row>
    <row r="143" spans="13:119">
      <c r="AW143" s="1395" t="s">
        <v>2653</v>
      </c>
      <c r="AX143" s="1394" t="s">
        <v>2048</v>
      </c>
      <c r="AY143" s="1396" t="s">
        <v>2147</v>
      </c>
      <c r="AZ143" s="1395">
        <v>610</v>
      </c>
      <c r="BA143" s="527" t="s">
        <v>1977</v>
      </c>
      <c r="BB143" s="535">
        <v>21.97950377562028</v>
      </c>
      <c r="BC143" s="534" t="s">
        <v>2006</v>
      </c>
      <c r="BD143" s="536"/>
      <c r="BE143" s="536"/>
      <c r="BF143" s="534"/>
      <c r="BG143" s="536"/>
      <c r="BH143" s="537">
        <f t="shared" si="66"/>
        <v>6</v>
      </c>
      <c r="BI143" s="537">
        <f t="shared" si="67"/>
        <v>2.97</v>
      </c>
      <c r="BJ143" s="537">
        <f t="shared" si="68"/>
        <v>67.5</v>
      </c>
      <c r="BK143" s="537">
        <f t="shared" si="69"/>
        <v>2.5</v>
      </c>
      <c r="BL143" s="537">
        <f t="shared" si="70"/>
        <v>9.5</v>
      </c>
      <c r="BM143" s="537">
        <f t="shared" si="71"/>
        <v>5.6</v>
      </c>
      <c r="BN143" s="537">
        <f t="shared" si="72"/>
        <v>2.97</v>
      </c>
      <c r="BO143" s="537">
        <f t="shared" si="73"/>
        <v>2.9666666666666668</v>
      </c>
      <c r="BP143" s="537">
        <f t="shared" si="65"/>
        <v>100.00666666666666</v>
      </c>
      <c r="BQ143" s="534" t="s">
        <v>1979</v>
      </c>
      <c r="BR143" s="556">
        <v>8.8539999999999994E-2</v>
      </c>
      <c r="BS143" s="556">
        <v>8.8539999999999994E-2</v>
      </c>
      <c r="BT143" s="556">
        <v>1.719E-2</v>
      </c>
      <c r="BU143" s="556">
        <v>7.3859999999999995E-2</v>
      </c>
      <c r="BV143" s="556">
        <v>4.929E-2</v>
      </c>
      <c r="BW143" s="557" t="s">
        <v>2275</v>
      </c>
      <c r="BX143" s="534" t="s">
        <v>2276</v>
      </c>
      <c r="DH143" s="539" t="str">
        <f t="shared" si="74"/>
        <v>Kiribati</v>
      </c>
      <c r="DI143" s="539" t="str">
        <f t="shared" si="75"/>
        <v>Oceania</v>
      </c>
      <c r="DJ143" s="539" t="str">
        <f t="shared" si="76"/>
        <v>Rest of Oceania</v>
      </c>
      <c r="DL143" s="539" t="s">
        <v>35</v>
      </c>
      <c r="DN143" s="539" t="s">
        <v>2620</v>
      </c>
      <c r="DO143" s="539" t="s">
        <v>2621</v>
      </c>
    </row>
    <row r="144" spans="13:119">
      <c r="AW144" s="1395" t="s">
        <v>2672</v>
      </c>
      <c r="AX144" s="1394" t="s">
        <v>2048</v>
      </c>
      <c r="AY144" s="1396" t="s">
        <v>2147</v>
      </c>
      <c r="AZ144" s="1395">
        <v>610</v>
      </c>
      <c r="BA144" s="527" t="s">
        <v>1977</v>
      </c>
      <c r="BB144" s="535">
        <v>6.2992125984251963</v>
      </c>
      <c r="BC144" s="534" t="s">
        <v>2006</v>
      </c>
      <c r="BD144" s="536"/>
      <c r="BE144" s="536"/>
      <c r="BF144" s="534"/>
      <c r="BG144" s="536"/>
      <c r="BH144" s="537">
        <f t="shared" si="66"/>
        <v>6</v>
      </c>
      <c r="BI144" s="537">
        <f t="shared" si="67"/>
        <v>2.97</v>
      </c>
      <c r="BJ144" s="537">
        <f t="shared" si="68"/>
        <v>67.5</v>
      </c>
      <c r="BK144" s="537">
        <f t="shared" si="69"/>
        <v>2.5</v>
      </c>
      <c r="BL144" s="537">
        <f t="shared" si="70"/>
        <v>9.5</v>
      </c>
      <c r="BM144" s="537">
        <f t="shared" si="71"/>
        <v>5.6</v>
      </c>
      <c r="BN144" s="537">
        <f t="shared" si="72"/>
        <v>2.97</v>
      </c>
      <c r="BO144" s="537">
        <f t="shared" si="73"/>
        <v>2.9666666666666668</v>
      </c>
      <c r="BP144" s="537">
        <f t="shared" si="65"/>
        <v>100.00666666666666</v>
      </c>
      <c r="BQ144" s="534" t="s">
        <v>1979</v>
      </c>
      <c r="BR144" s="556">
        <v>8.8539999999999994E-2</v>
      </c>
      <c r="BS144" s="556">
        <v>8.8539999999999994E-2</v>
      </c>
      <c r="BT144" s="556">
        <v>1.719E-2</v>
      </c>
      <c r="BU144" s="556">
        <v>7.3859999999999995E-2</v>
      </c>
      <c r="BV144" s="556">
        <v>4.929E-2</v>
      </c>
      <c r="BW144" s="557" t="s">
        <v>2275</v>
      </c>
      <c r="BX144" s="534" t="s">
        <v>2276</v>
      </c>
      <c r="DH144" s="539" t="str">
        <f t="shared" si="74"/>
        <v>Marshall Islands</v>
      </c>
      <c r="DI144" s="539" t="str">
        <f t="shared" si="75"/>
        <v>Oceania</v>
      </c>
      <c r="DJ144" s="539" t="str">
        <f t="shared" si="76"/>
        <v>Rest of Oceania</v>
      </c>
      <c r="DK144" s="539" t="e">
        <f>VLOOKUP(DH144,#REF!,1)</f>
        <v>#REF!</v>
      </c>
      <c r="DL144" s="539" t="e">
        <f>VLOOKUP(DK144,#REF!,2,FALSE)</f>
        <v>#REF!</v>
      </c>
      <c r="DN144" s="539" t="s">
        <v>2623</v>
      </c>
      <c r="DO144" s="539" t="s">
        <v>2624</v>
      </c>
    </row>
    <row r="145" spans="49:119" ht="25.5">
      <c r="AW145" s="1395" t="s">
        <v>2683</v>
      </c>
      <c r="AX145" s="1394" t="s">
        <v>2048</v>
      </c>
      <c r="AY145" s="1396" t="s">
        <v>2147</v>
      </c>
      <c r="AZ145" s="1395">
        <v>568</v>
      </c>
      <c r="BA145" s="527" t="s">
        <v>1977</v>
      </c>
      <c r="BB145" s="535">
        <v>5.4123414965002699</v>
      </c>
      <c r="BC145" s="534" t="s">
        <v>2049</v>
      </c>
      <c r="BD145" s="536"/>
      <c r="BE145" s="536"/>
      <c r="BF145" s="534"/>
      <c r="BG145" s="536"/>
      <c r="BH145" s="537">
        <f t="shared" si="66"/>
        <v>6</v>
      </c>
      <c r="BI145" s="537">
        <f t="shared" si="67"/>
        <v>2.97</v>
      </c>
      <c r="BJ145" s="537">
        <f t="shared" si="68"/>
        <v>67.5</v>
      </c>
      <c r="BK145" s="537">
        <f t="shared" si="69"/>
        <v>2.5</v>
      </c>
      <c r="BL145" s="537">
        <f t="shared" si="70"/>
        <v>9.5</v>
      </c>
      <c r="BM145" s="537">
        <f t="shared" si="71"/>
        <v>5.6</v>
      </c>
      <c r="BN145" s="537">
        <f t="shared" si="72"/>
        <v>2.97</v>
      </c>
      <c r="BO145" s="537">
        <f t="shared" si="73"/>
        <v>2.9666666666666668</v>
      </c>
      <c r="BP145" s="537">
        <f t="shared" si="65"/>
        <v>100.00666666666666</v>
      </c>
      <c r="BQ145" s="534" t="s">
        <v>1979</v>
      </c>
      <c r="BR145" s="556">
        <v>8.8539999999999994E-2</v>
      </c>
      <c r="BS145" s="556">
        <v>8.8539999999999994E-2</v>
      </c>
      <c r="BT145" s="556">
        <v>1.719E-2</v>
      </c>
      <c r="BU145" s="556">
        <v>7.3859999999999995E-2</v>
      </c>
      <c r="BV145" s="556">
        <v>4.929E-2</v>
      </c>
      <c r="BW145" s="557" t="s">
        <v>2275</v>
      </c>
      <c r="BX145" s="534" t="s">
        <v>2276</v>
      </c>
      <c r="DH145" s="539" t="str">
        <f t="shared" si="74"/>
        <v>Micronesia</v>
      </c>
      <c r="DI145" s="539" t="str">
        <f t="shared" si="75"/>
        <v>Oceania</v>
      </c>
      <c r="DJ145" s="539" t="str">
        <f t="shared" si="76"/>
        <v>Rest of Oceania</v>
      </c>
      <c r="DK145" s="539" t="e">
        <f>VLOOKUP(DH145,#REF!,1)</f>
        <v>#REF!</v>
      </c>
      <c r="DL145" s="539" t="e">
        <f>VLOOKUP(DK145,#REF!,2,FALSE)</f>
        <v>#REF!</v>
      </c>
      <c r="DN145" s="539" t="s">
        <v>2626</v>
      </c>
      <c r="DO145" s="539" t="s">
        <v>2627</v>
      </c>
    </row>
    <row r="146" spans="49:119">
      <c r="AW146" s="1395" t="s">
        <v>2687</v>
      </c>
      <c r="AX146" s="1394" t="s">
        <v>2048</v>
      </c>
      <c r="AY146" s="1396" t="s">
        <v>2147</v>
      </c>
      <c r="AZ146" s="1395">
        <v>417</v>
      </c>
      <c r="BA146" s="527" t="s">
        <v>1977</v>
      </c>
      <c r="BB146" s="535">
        <v>19.892072943803498</v>
      </c>
      <c r="BC146" s="534" t="s">
        <v>2006</v>
      </c>
      <c r="BD146" s="536"/>
      <c r="BE146" s="536"/>
      <c r="BF146" s="534"/>
      <c r="BG146" s="536"/>
      <c r="BH146" s="537">
        <f t="shared" si="66"/>
        <v>6</v>
      </c>
      <c r="BI146" s="537">
        <f t="shared" si="67"/>
        <v>2.97</v>
      </c>
      <c r="BJ146" s="537">
        <f t="shared" si="68"/>
        <v>67.5</v>
      </c>
      <c r="BK146" s="537">
        <f t="shared" si="69"/>
        <v>2.5</v>
      </c>
      <c r="BL146" s="537">
        <f t="shared" si="70"/>
        <v>9.5</v>
      </c>
      <c r="BM146" s="537">
        <f t="shared" si="71"/>
        <v>5.6</v>
      </c>
      <c r="BN146" s="537">
        <f t="shared" si="72"/>
        <v>2.97</v>
      </c>
      <c r="BO146" s="537">
        <f t="shared" si="73"/>
        <v>2.9666666666666668</v>
      </c>
      <c r="BP146" s="537">
        <f t="shared" si="65"/>
        <v>100.00666666666666</v>
      </c>
      <c r="BQ146" s="534" t="s">
        <v>1979</v>
      </c>
      <c r="BR146" s="556">
        <v>8.8539999999999994E-2</v>
      </c>
      <c r="BS146" s="556">
        <v>8.8539999999999994E-2</v>
      </c>
      <c r="BT146" s="556">
        <v>1.719E-2</v>
      </c>
      <c r="BU146" s="556">
        <v>7.3859999999999995E-2</v>
      </c>
      <c r="BV146" s="556">
        <v>4.929E-2</v>
      </c>
      <c r="BW146" s="557" t="s">
        <v>2275</v>
      </c>
      <c r="BX146" s="534" t="s">
        <v>2276</v>
      </c>
      <c r="DH146" s="539" t="str">
        <f t="shared" si="74"/>
        <v>Nauru</v>
      </c>
      <c r="DI146" s="539" t="str">
        <f t="shared" si="75"/>
        <v>Oceania</v>
      </c>
      <c r="DJ146" s="539" t="str">
        <f t="shared" si="76"/>
        <v>Rest of Oceania</v>
      </c>
      <c r="DL146" s="539" t="s">
        <v>35</v>
      </c>
      <c r="DN146" s="539" t="s">
        <v>2629</v>
      </c>
      <c r="DO146" s="539" t="s">
        <v>2630</v>
      </c>
    </row>
    <row r="147" spans="49:119" ht="25.5">
      <c r="AW147" s="1395" t="s">
        <v>2692</v>
      </c>
      <c r="AX147" s="1394" t="s">
        <v>2048</v>
      </c>
      <c r="AY147" s="1396" t="s">
        <v>2147</v>
      </c>
      <c r="AZ147" s="1395">
        <v>355</v>
      </c>
      <c r="BA147" s="527" t="s">
        <v>1977</v>
      </c>
      <c r="BB147" s="535">
        <v>11.740747004194485</v>
      </c>
      <c r="BC147" s="534" t="s">
        <v>2263</v>
      </c>
      <c r="BD147" s="536"/>
      <c r="BE147" s="536"/>
      <c r="BF147" s="534"/>
      <c r="BG147" s="536"/>
      <c r="BH147" s="537">
        <f t="shared" si="66"/>
        <v>6</v>
      </c>
      <c r="BI147" s="537">
        <f t="shared" si="67"/>
        <v>2.97</v>
      </c>
      <c r="BJ147" s="537">
        <f t="shared" si="68"/>
        <v>67.5</v>
      </c>
      <c r="BK147" s="537">
        <f t="shared" si="69"/>
        <v>2.5</v>
      </c>
      <c r="BL147" s="537">
        <f t="shared" si="70"/>
        <v>9.5</v>
      </c>
      <c r="BM147" s="537">
        <f t="shared" si="71"/>
        <v>5.6</v>
      </c>
      <c r="BN147" s="537">
        <f t="shared" si="72"/>
        <v>2.97</v>
      </c>
      <c r="BO147" s="537">
        <f t="shared" si="73"/>
        <v>2.9666666666666668</v>
      </c>
      <c r="BP147" s="537">
        <f t="shared" si="65"/>
        <v>100.00666666666666</v>
      </c>
      <c r="BQ147" s="534" t="s">
        <v>1979</v>
      </c>
      <c r="BR147" s="556">
        <v>8.8539999999999994E-2</v>
      </c>
      <c r="BS147" s="556">
        <v>8.8539999999999994E-2</v>
      </c>
      <c r="BT147" s="556">
        <v>1.719E-2</v>
      </c>
      <c r="BU147" s="556">
        <v>7.3859999999999995E-2</v>
      </c>
      <c r="BV147" s="556">
        <v>4.929E-2</v>
      </c>
      <c r="BW147" s="557" t="s">
        <v>2275</v>
      </c>
      <c r="BX147" s="534" t="s">
        <v>2276</v>
      </c>
      <c r="DH147" s="539" t="str">
        <f t="shared" si="74"/>
        <v>New Caledonia (France)</v>
      </c>
      <c r="DI147" s="539" t="str">
        <f t="shared" si="75"/>
        <v>Oceania</v>
      </c>
      <c r="DJ147" s="539" t="str">
        <f t="shared" si="76"/>
        <v>Rest of Oceania</v>
      </c>
      <c r="DL147" s="539" t="s">
        <v>35</v>
      </c>
      <c r="DN147" s="539" t="s">
        <v>2632</v>
      </c>
      <c r="DO147" s="539" t="s">
        <v>2633</v>
      </c>
    </row>
    <row r="148" spans="49:119">
      <c r="AW148" s="1395" t="s">
        <v>2693</v>
      </c>
      <c r="AX148" s="1394" t="s">
        <v>2048</v>
      </c>
      <c r="AY148" s="1396" t="s">
        <v>2147</v>
      </c>
      <c r="AZ148" s="1395">
        <v>486</v>
      </c>
      <c r="BA148" s="527" t="s">
        <v>1977</v>
      </c>
      <c r="BB148" s="535">
        <v>10.025212186531689</v>
      </c>
      <c r="BC148" s="534" t="s">
        <v>2190</v>
      </c>
      <c r="BD148" s="536"/>
      <c r="BE148" s="536"/>
      <c r="BF148" s="534"/>
      <c r="BG148" s="536"/>
      <c r="BH148" s="537">
        <f t="shared" si="66"/>
        <v>6</v>
      </c>
      <c r="BI148" s="537">
        <f t="shared" si="67"/>
        <v>2.97</v>
      </c>
      <c r="BJ148" s="537">
        <f t="shared" si="68"/>
        <v>67.5</v>
      </c>
      <c r="BK148" s="537">
        <f t="shared" si="69"/>
        <v>2.5</v>
      </c>
      <c r="BL148" s="537">
        <f t="shared" si="70"/>
        <v>9.5</v>
      </c>
      <c r="BM148" s="537">
        <f t="shared" si="71"/>
        <v>5.6</v>
      </c>
      <c r="BN148" s="537">
        <f t="shared" si="72"/>
        <v>2.97</v>
      </c>
      <c r="BO148" s="537">
        <f t="shared" si="73"/>
        <v>2.9666666666666668</v>
      </c>
      <c r="BP148" s="537">
        <f t="shared" si="65"/>
        <v>100.00666666666666</v>
      </c>
      <c r="BQ148" s="534" t="s">
        <v>1979</v>
      </c>
      <c r="BR148" s="556">
        <v>8.8539999999999994E-2</v>
      </c>
      <c r="BS148" s="556">
        <v>8.8539999999999994E-2</v>
      </c>
      <c r="BT148" s="556">
        <v>1.719E-2</v>
      </c>
      <c r="BU148" s="556">
        <v>7.3859999999999995E-2</v>
      </c>
      <c r="BV148" s="556">
        <v>4.929E-2</v>
      </c>
      <c r="BW148" s="557" t="s">
        <v>2275</v>
      </c>
      <c r="BX148" s="534" t="s">
        <v>2276</v>
      </c>
      <c r="DH148" s="539" t="str">
        <f t="shared" si="74"/>
        <v>Niue</v>
      </c>
      <c r="DI148" s="539" t="str">
        <f t="shared" si="75"/>
        <v>Oceania</v>
      </c>
      <c r="DJ148" s="539" t="str">
        <f t="shared" si="76"/>
        <v>Rest of Oceania</v>
      </c>
      <c r="DL148" s="539" t="s">
        <v>35</v>
      </c>
      <c r="DN148" s="539" t="s">
        <v>2635</v>
      </c>
      <c r="DO148" s="539" t="s">
        <v>2636</v>
      </c>
    </row>
    <row r="149" spans="49:119" ht="25.5">
      <c r="AW149" s="1395" t="s">
        <v>2696</v>
      </c>
      <c r="AX149" s="1394" t="s">
        <v>2048</v>
      </c>
      <c r="AY149" s="1396" t="s">
        <v>2147</v>
      </c>
      <c r="AZ149" s="1395">
        <v>530</v>
      </c>
      <c r="BA149" s="527" t="s">
        <v>1977</v>
      </c>
      <c r="BB149" s="535">
        <v>11.740747004194485</v>
      </c>
      <c r="BC149" s="534" t="s">
        <v>2263</v>
      </c>
      <c r="BD149" s="536"/>
      <c r="BE149" s="536"/>
      <c r="BF149" s="534"/>
      <c r="BG149" s="536"/>
      <c r="BH149" s="537">
        <f t="shared" si="66"/>
        <v>6</v>
      </c>
      <c r="BI149" s="537">
        <f t="shared" si="67"/>
        <v>2.97</v>
      </c>
      <c r="BJ149" s="537">
        <f t="shared" si="68"/>
        <v>67.5</v>
      </c>
      <c r="BK149" s="537">
        <f t="shared" si="69"/>
        <v>2.5</v>
      </c>
      <c r="BL149" s="537">
        <f t="shared" si="70"/>
        <v>9.5</v>
      </c>
      <c r="BM149" s="537">
        <f t="shared" si="71"/>
        <v>5.6</v>
      </c>
      <c r="BN149" s="537">
        <f t="shared" si="72"/>
        <v>2.97</v>
      </c>
      <c r="BO149" s="537">
        <f t="shared" si="73"/>
        <v>2.9666666666666668</v>
      </c>
      <c r="BP149" s="537">
        <f t="shared" si="65"/>
        <v>100.00666666666666</v>
      </c>
      <c r="BQ149" s="534" t="s">
        <v>1979</v>
      </c>
      <c r="BR149" s="556">
        <v>8.8539999999999994E-2</v>
      </c>
      <c r="BS149" s="556">
        <v>8.8539999999999994E-2</v>
      </c>
      <c r="BT149" s="556">
        <v>1.719E-2</v>
      </c>
      <c r="BU149" s="556">
        <v>7.3859999999999995E-2</v>
      </c>
      <c r="BV149" s="556">
        <v>4.929E-2</v>
      </c>
      <c r="BW149" s="557" t="s">
        <v>2275</v>
      </c>
      <c r="BX149" s="534" t="s">
        <v>2276</v>
      </c>
      <c r="DH149" s="539" t="str">
        <f t="shared" si="74"/>
        <v>Northern Mariana Islands (U.S.)</v>
      </c>
      <c r="DI149" s="539" t="str">
        <f t="shared" si="75"/>
        <v>Oceania</v>
      </c>
      <c r="DJ149" s="539" t="str">
        <f t="shared" si="76"/>
        <v>Rest of Oceania</v>
      </c>
      <c r="DL149" s="539" t="s">
        <v>35</v>
      </c>
      <c r="DN149" s="539" t="s">
        <v>2638</v>
      </c>
      <c r="DO149" s="539" t="s">
        <v>2639</v>
      </c>
    </row>
    <row r="150" spans="49:119">
      <c r="AW150" s="1395" t="s">
        <v>2698</v>
      </c>
      <c r="AX150" s="1394" t="s">
        <v>2048</v>
      </c>
      <c r="AY150" s="1396" t="s">
        <v>2147</v>
      </c>
      <c r="AZ150" s="1395">
        <v>468</v>
      </c>
      <c r="BA150" s="527" t="s">
        <v>1977</v>
      </c>
      <c r="BB150" s="535">
        <v>5.7924038272450487</v>
      </c>
      <c r="BC150" s="534" t="s">
        <v>2006</v>
      </c>
      <c r="BD150" s="536"/>
      <c r="BE150" s="536"/>
      <c r="BF150" s="534"/>
      <c r="BG150" s="536"/>
      <c r="BH150" s="537">
        <f t="shared" si="66"/>
        <v>6</v>
      </c>
      <c r="BI150" s="537">
        <f t="shared" si="67"/>
        <v>2.97</v>
      </c>
      <c r="BJ150" s="537">
        <f t="shared" si="68"/>
        <v>67.5</v>
      </c>
      <c r="BK150" s="537">
        <f t="shared" si="69"/>
        <v>2.5</v>
      </c>
      <c r="BL150" s="537">
        <f t="shared" si="70"/>
        <v>9.5</v>
      </c>
      <c r="BM150" s="537">
        <f t="shared" si="71"/>
        <v>5.6</v>
      </c>
      <c r="BN150" s="537">
        <f t="shared" si="72"/>
        <v>2.97</v>
      </c>
      <c r="BO150" s="537">
        <f t="shared" si="73"/>
        <v>2.9666666666666668</v>
      </c>
      <c r="BP150" s="537">
        <f t="shared" si="65"/>
        <v>100.00666666666666</v>
      </c>
      <c r="BQ150" s="534" t="s">
        <v>1979</v>
      </c>
      <c r="BR150" s="556">
        <v>8.8539999999999994E-2</v>
      </c>
      <c r="BS150" s="556">
        <v>8.8539999999999994E-2</v>
      </c>
      <c r="BT150" s="556">
        <v>1.719E-2</v>
      </c>
      <c r="BU150" s="556">
        <v>7.3859999999999995E-2</v>
      </c>
      <c r="BV150" s="556">
        <v>4.929E-2</v>
      </c>
      <c r="BW150" s="557" t="s">
        <v>2275</v>
      </c>
      <c r="BX150" s="534" t="s">
        <v>2276</v>
      </c>
      <c r="DH150" s="539" t="str">
        <f t="shared" si="74"/>
        <v>Palau</v>
      </c>
      <c r="DI150" s="539" t="str">
        <f t="shared" si="75"/>
        <v>Oceania</v>
      </c>
      <c r="DJ150" s="539" t="str">
        <f t="shared" si="76"/>
        <v>Rest of Oceania</v>
      </c>
      <c r="DL150" s="539" t="s">
        <v>35</v>
      </c>
      <c r="DN150" s="539" t="s">
        <v>2641</v>
      </c>
      <c r="DO150" s="539" t="s">
        <v>2642</v>
      </c>
    </row>
    <row r="151" spans="49:119">
      <c r="AW151" s="1395" t="s">
        <v>2714</v>
      </c>
      <c r="AX151" s="1394" t="s">
        <v>2048</v>
      </c>
      <c r="AY151" s="1396" t="s">
        <v>2147</v>
      </c>
      <c r="AZ151" s="1395">
        <v>459</v>
      </c>
      <c r="BA151" s="527" t="s">
        <v>1977</v>
      </c>
      <c r="BB151" s="535">
        <v>18.8367793271604</v>
      </c>
      <c r="BC151" s="534" t="s">
        <v>2230</v>
      </c>
      <c r="BD151" s="536"/>
      <c r="BE151" s="536"/>
      <c r="BF151" s="534"/>
      <c r="BG151" s="536"/>
      <c r="BH151" s="537">
        <f t="shared" si="66"/>
        <v>6</v>
      </c>
      <c r="BI151" s="537">
        <f t="shared" si="67"/>
        <v>2.97</v>
      </c>
      <c r="BJ151" s="537">
        <f t="shared" si="68"/>
        <v>67.5</v>
      </c>
      <c r="BK151" s="537">
        <f t="shared" si="69"/>
        <v>2.5</v>
      </c>
      <c r="BL151" s="537">
        <f t="shared" si="70"/>
        <v>9.5</v>
      </c>
      <c r="BM151" s="537">
        <f t="shared" si="71"/>
        <v>5.6</v>
      </c>
      <c r="BN151" s="537">
        <f t="shared" si="72"/>
        <v>2.97</v>
      </c>
      <c r="BO151" s="537">
        <f t="shared" si="73"/>
        <v>2.9666666666666668</v>
      </c>
      <c r="BP151" s="537">
        <f t="shared" si="65"/>
        <v>100.00666666666666</v>
      </c>
      <c r="BQ151" s="534" t="s">
        <v>1979</v>
      </c>
      <c r="BR151" s="556">
        <v>8.8539999999999994E-2</v>
      </c>
      <c r="BS151" s="556">
        <v>8.8539999999999994E-2</v>
      </c>
      <c r="BT151" s="556">
        <v>1.719E-2</v>
      </c>
      <c r="BU151" s="556">
        <v>7.3859999999999995E-2</v>
      </c>
      <c r="BV151" s="556">
        <v>4.929E-2</v>
      </c>
      <c r="BW151" s="557" t="s">
        <v>2275</v>
      </c>
      <c r="BX151" s="534" t="s">
        <v>2276</v>
      </c>
      <c r="DH151" s="539" t="str">
        <f t="shared" si="74"/>
        <v>Papua New Guinea</v>
      </c>
      <c r="DI151" s="539" t="str">
        <f t="shared" si="75"/>
        <v>Oceania</v>
      </c>
      <c r="DJ151" s="539" t="str">
        <f t="shared" si="76"/>
        <v>Rest of Oceania</v>
      </c>
      <c r="DL151" s="539" t="s">
        <v>35</v>
      </c>
      <c r="DN151" s="539" t="s">
        <v>2643</v>
      </c>
      <c r="DO151" s="539" t="s">
        <v>2644</v>
      </c>
    </row>
    <row r="152" spans="49:119" ht="25.5">
      <c r="AW152" s="1395" t="s">
        <v>2725</v>
      </c>
      <c r="AX152" s="1394" t="s">
        <v>2048</v>
      </c>
      <c r="AY152" s="1396" t="s">
        <v>2147</v>
      </c>
      <c r="AZ152" s="1395">
        <v>631</v>
      </c>
      <c r="BA152" s="527" t="s">
        <v>1977</v>
      </c>
      <c r="BB152" s="535">
        <v>13.490630673342661</v>
      </c>
      <c r="BC152" s="534" t="s">
        <v>2223</v>
      </c>
      <c r="BD152" s="536"/>
      <c r="BE152" s="536"/>
      <c r="BF152" s="534"/>
      <c r="BG152" s="536"/>
      <c r="BH152" s="537">
        <f t="shared" si="66"/>
        <v>6</v>
      </c>
      <c r="BI152" s="537">
        <f t="shared" si="67"/>
        <v>2.97</v>
      </c>
      <c r="BJ152" s="537">
        <f t="shared" si="68"/>
        <v>67.5</v>
      </c>
      <c r="BK152" s="537">
        <f t="shared" si="69"/>
        <v>2.5</v>
      </c>
      <c r="BL152" s="537">
        <f t="shared" si="70"/>
        <v>9.5</v>
      </c>
      <c r="BM152" s="537">
        <f t="shared" si="71"/>
        <v>5.6</v>
      </c>
      <c r="BN152" s="537">
        <f t="shared" si="72"/>
        <v>2.97</v>
      </c>
      <c r="BO152" s="537">
        <f t="shared" si="73"/>
        <v>2.9666666666666668</v>
      </c>
      <c r="BP152" s="537">
        <f t="shared" si="65"/>
        <v>100.00666666666666</v>
      </c>
      <c r="BQ152" s="534" t="s">
        <v>1979</v>
      </c>
      <c r="BR152" s="556">
        <v>8.8539999999999994E-2</v>
      </c>
      <c r="BS152" s="556">
        <v>8.8539999999999994E-2</v>
      </c>
      <c r="BT152" s="556">
        <v>1.719E-2</v>
      </c>
      <c r="BU152" s="556">
        <v>7.3859999999999995E-2</v>
      </c>
      <c r="BV152" s="556">
        <v>4.929E-2</v>
      </c>
      <c r="BW152" s="557" t="s">
        <v>2275</v>
      </c>
      <c r="BX152" s="534" t="s">
        <v>2276</v>
      </c>
      <c r="DH152" s="539" t="str">
        <f t="shared" si="74"/>
        <v>Samoa</v>
      </c>
      <c r="DI152" s="539" t="str">
        <f t="shared" si="75"/>
        <v>Oceania</v>
      </c>
      <c r="DJ152" s="539" t="str">
        <f t="shared" si="76"/>
        <v>Rest of Oceania</v>
      </c>
      <c r="DL152" s="539" t="s">
        <v>35</v>
      </c>
      <c r="DN152" s="539" t="s">
        <v>2645</v>
      </c>
      <c r="DO152" s="539" t="s">
        <v>2646</v>
      </c>
    </row>
    <row r="153" spans="49:119">
      <c r="AW153" s="1395" t="s">
        <v>2740</v>
      </c>
      <c r="AX153" s="1394" t="s">
        <v>2048</v>
      </c>
      <c r="AY153" s="1396" t="s">
        <v>2147</v>
      </c>
      <c r="AZ153" s="1395">
        <v>583</v>
      </c>
      <c r="BA153" s="527" t="s">
        <v>1977</v>
      </c>
      <c r="BB153" s="535">
        <v>4.6770601336302899</v>
      </c>
      <c r="BC153" s="534" t="s">
        <v>2006</v>
      </c>
      <c r="BD153" s="536"/>
      <c r="BE153" s="536"/>
      <c r="BF153" s="534"/>
      <c r="BG153" s="536"/>
      <c r="BH153" s="537">
        <f t="shared" si="66"/>
        <v>6</v>
      </c>
      <c r="BI153" s="537">
        <f t="shared" si="67"/>
        <v>2.97</v>
      </c>
      <c r="BJ153" s="537">
        <f t="shared" si="68"/>
        <v>67.5</v>
      </c>
      <c r="BK153" s="537">
        <f t="shared" si="69"/>
        <v>2.5</v>
      </c>
      <c r="BL153" s="537">
        <f t="shared" si="70"/>
        <v>9.5</v>
      </c>
      <c r="BM153" s="537">
        <f t="shared" si="71"/>
        <v>5.6</v>
      </c>
      <c r="BN153" s="537">
        <f t="shared" si="72"/>
        <v>2.97</v>
      </c>
      <c r="BO153" s="537">
        <f t="shared" si="73"/>
        <v>2.9666666666666668</v>
      </c>
      <c r="BP153" s="537">
        <f t="shared" si="65"/>
        <v>100.00666666666666</v>
      </c>
      <c r="BQ153" s="534" t="s">
        <v>1979</v>
      </c>
      <c r="BR153" s="556">
        <v>8.8539999999999994E-2</v>
      </c>
      <c r="BS153" s="556">
        <v>8.8539999999999994E-2</v>
      </c>
      <c r="BT153" s="556">
        <v>1.719E-2</v>
      </c>
      <c r="BU153" s="556">
        <v>7.3859999999999995E-2</v>
      </c>
      <c r="BV153" s="556">
        <v>4.929E-2</v>
      </c>
      <c r="BW153" s="557" t="s">
        <v>2275</v>
      </c>
      <c r="BX153" s="534" t="s">
        <v>2276</v>
      </c>
      <c r="DH153" s="539" t="str">
        <f t="shared" si="74"/>
        <v>Solomon Islands</v>
      </c>
      <c r="DI153" s="539" t="str">
        <f t="shared" si="75"/>
        <v>Oceania</v>
      </c>
      <c r="DJ153" s="539" t="str">
        <f t="shared" si="76"/>
        <v>Rest of Oceania</v>
      </c>
      <c r="DL153" s="539" t="s">
        <v>35</v>
      </c>
      <c r="DN153" s="539" t="s">
        <v>2648</v>
      </c>
      <c r="DO153" s="539" t="s">
        <v>2649</v>
      </c>
    </row>
    <row r="154" spans="49:119" ht="25.5">
      <c r="AW154" s="1395" t="s">
        <v>2746</v>
      </c>
      <c r="AX154" s="1394" t="s">
        <v>2048</v>
      </c>
      <c r="AY154" s="1396" t="s">
        <v>2147</v>
      </c>
      <c r="AZ154" s="1395">
        <v>528</v>
      </c>
      <c r="BA154" s="527" t="s">
        <v>1977</v>
      </c>
      <c r="BB154" s="535">
        <v>5.4123414965002699</v>
      </c>
      <c r="BC154" s="534" t="s">
        <v>2049</v>
      </c>
      <c r="BD154" s="536"/>
      <c r="BE154" s="536"/>
      <c r="BF154" s="534"/>
      <c r="BG154" s="536"/>
      <c r="BH154" s="537">
        <f t="shared" si="66"/>
        <v>6</v>
      </c>
      <c r="BI154" s="537">
        <f t="shared" si="67"/>
        <v>2.97</v>
      </c>
      <c r="BJ154" s="537">
        <f t="shared" si="68"/>
        <v>67.5</v>
      </c>
      <c r="BK154" s="537">
        <f t="shared" si="69"/>
        <v>2.5</v>
      </c>
      <c r="BL154" s="537">
        <f t="shared" si="70"/>
        <v>9.5</v>
      </c>
      <c r="BM154" s="537">
        <f t="shared" si="71"/>
        <v>5.6</v>
      </c>
      <c r="BN154" s="537">
        <f t="shared" si="72"/>
        <v>2.97</v>
      </c>
      <c r="BO154" s="537">
        <f t="shared" si="73"/>
        <v>2.9666666666666668</v>
      </c>
      <c r="BP154" s="537">
        <f t="shared" si="65"/>
        <v>100.00666666666666</v>
      </c>
      <c r="BQ154" s="534" t="s">
        <v>1979</v>
      </c>
      <c r="BR154" s="556">
        <v>8.8539999999999994E-2</v>
      </c>
      <c r="BS154" s="556">
        <v>8.8539999999999994E-2</v>
      </c>
      <c r="BT154" s="556">
        <v>1.719E-2</v>
      </c>
      <c r="BU154" s="556">
        <v>7.3859999999999995E-2</v>
      </c>
      <c r="BV154" s="556">
        <v>4.929E-2</v>
      </c>
      <c r="BW154" s="557" t="s">
        <v>2275</v>
      </c>
      <c r="BX154" s="534" t="s">
        <v>2276</v>
      </c>
      <c r="DH154" s="539" t="str">
        <f t="shared" si="74"/>
        <v>Tonga</v>
      </c>
      <c r="DI154" s="539" t="str">
        <f t="shared" si="75"/>
        <v>Oceania</v>
      </c>
      <c r="DJ154" s="539" t="str">
        <f t="shared" si="76"/>
        <v>Rest of Oceania</v>
      </c>
      <c r="DK154" s="539" t="e">
        <f>VLOOKUP(DH154,#REF!,1)</f>
        <v>#REF!</v>
      </c>
      <c r="DL154" s="539" t="e">
        <f>VLOOKUP(DK154,#REF!,2,FALSE)</f>
        <v>#REF!</v>
      </c>
      <c r="DN154" s="539" t="s">
        <v>2651</v>
      </c>
      <c r="DO154" s="539" t="s">
        <v>2652</v>
      </c>
    </row>
    <row r="155" spans="49:119" ht="25.5">
      <c r="AW155" s="1395" t="s">
        <v>2756</v>
      </c>
      <c r="AX155" s="1394" t="s">
        <v>2048</v>
      </c>
      <c r="AY155" s="1396" t="s">
        <v>2147</v>
      </c>
      <c r="AZ155" s="1395">
        <v>371</v>
      </c>
      <c r="BA155" s="527" t="s">
        <v>1977</v>
      </c>
      <c r="BB155" s="535">
        <v>9.3894684857089938</v>
      </c>
      <c r="BC155" s="534" t="s">
        <v>2087</v>
      </c>
      <c r="BD155" s="536"/>
      <c r="BE155" s="536"/>
      <c r="BF155" s="534"/>
      <c r="BG155" s="536"/>
      <c r="BH155" s="537">
        <f t="shared" si="66"/>
        <v>6</v>
      </c>
      <c r="BI155" s="537">
        <f t="shared" si="67"/>
        <v>2.97</v>
      </c>
      <c r="BJ155" s="537">
        <f t="shared" si="68"/>
        <v>67.5</v>
      </c>
      <c r="BK155" s="537">
        <f t="shared" si="69"/>
        <v>2.5</v>
      </c>
      <c r="BL155" s="537">
        <f t="shared" si="70"/>
        <v>9.5</v>
      </c>
      <c r="BM155" s="537">
        <f t="shared" si="71"/>
        <v>5.6</v>
      </c>
      <c r="BN155" s="537">
        <f t="shared" si="72"/>
        <v>2.97</v>
      </c>
      <c r="BO155" s="537">
        <f t="shared" si="73"/>
        <v>2.9666666666666668</v>
      </c>
      <c r="BP155" s="537">
        <f t="shared" si="65"/>
        <v>100.00666666666666</v>
      </c>
      <c r="BQ155" s="534" t="s">
        <v>1979</v>
      </c>
      <c r="BR155" s="556">
        <v>8.8539999999999994E-2</v>
      </c>
      <c r="BS155" s="556">
        <v>8.8539999999999994E-2</v>
      </c>
      <c r="BT155" s="556">
        <v>1.719E-2</v>
      </c>
      <c r="BU155" s="556">
        <v>7.3859999999999995E-2</v>
      </c>
      <c r="BV155" s="556">
        <v>4.929E-2</v>
      </c>
      <c r="BW155" s="557" t="s">
        <v>2275</v>
      </c>
      <c r="BX155" s="534" t="s">
        <v>2276</v>
      </c>
      <c r="DH155" s="539" t="str">
        <f t="shared" si="74"/>
        <v>Tuvalu</v>
      </c>
      <c r="DI155" s="539" t="str">
        <f t="shared" si="75"/>
        <v>Oceania</v>
      </c>
      <c r="DJ155" s="539" t="str">
        <f t="shared" si="76"/>
        <v>Rest of Oceania</v>
      </c>
      <c r="DL155" s="539" t="s">
        <v>35</v>
      </c>
      <c r="DN155" s="539" t="s">
        <v>2654</v>
      </c>
      <c r="DO155" s="539" t="s">
        <v>2655</v>
      </c>
    </row>
    <row r="156" spans="49:119" ht="25.5">
      <c r="AW156" s="1394" t="s">
        <v>42</v>
      </c>
      <c r="AX156" s="1394" t="s">
        <v>2086</v>
      </c>
      <c r="AY156" s="1396" t="s">
        <v>2162</v>
      </c>
      <c r="AZ156" s="1395">
        <v>418.7</v>
      </c>
      <c r="BA156" s="527" t="s">
        <v>2340</v>
      </c>
      <c r="BB156" s="535">
        <v>13.490630673342661</v>
      </c>
      <c r="BC156" s="534" t="s">
        <v>2223</v>
      </c>
      <c r="BD156" s="536"/>
      <c r="BE156" s="536"/>
      <c r="BF156" s="534"/>
      <c r="BG156" s="536"/>
      <c r="BH156" s="537">
        <f t="shared" si="66"/>
        <v>17.100000000000001</v>
      </c>
      <c r="BI156" s="537">
        <f t="shared" si="67"/>
        <v>2.6</v>
      </c>
      <c r="BJ156" s="537">
        <f t="shared" si="68"/>
        <v>44.9</v>
      </c>
      <c r="BK156" s="537">
        <f t="shared" si="69"/>
        <v>4.7</v>
      </c>
      <c r="BL156" s="537">
        <f t="shared" si="70"/>
        <v>9.5</v>
      </c>
      <c r="BM156" s="537">
        <f t="shared" si="71"/>
        <v>5.6</v>
      </c>
      <c r="BN156" s="537">
        <f t="shared" si="72"/>
        <v>10.8</v>
      </c>
      <c r="BO156" s="537">
        <f t="shared" si="73"/>
        <v>4.8000000000000114</v>
      </c>
      <c r="BP156" s="537">
        <f t="shared" si="65"/>
        <v>100</v>
      </c>
      <c r="BQ156" s="534" t="s">
        <v>1979</v>
      </c>
      <c r="BR156" s="556">
        <v>8.8539999999999994E-2</v>
      </c>
      <c r="BS156" s="556">
        <v>8.8539999999999994E-2</v>
      </c>
      <c r="BT156" s="556">
        <v>1.719E-2</v>
      </c>
      <c r="BU156" s="556">
        <v>7.3859999999999995E-2</v>
      </c>
      <c r="BV156" s="556">
        <v>4.929E-2</v>
      </c>
      <c r="BW156" s="557" t="s">
        <v>2275</v>
      </c>
      <c r="BX156" s="534" t="s">
        <v>2276</v>
      </c>
      <c r="DH156" s="539" t="str">
        <f t="shared" si="74"/>
        <v>Vanatu</v>
      </c>
      <c r="DI156" s="539" t="str">
        <f t="shared" si="75"/>
        <v>Oceania</v>
      </c>
      <c r="DJ156" s="539" t="str">
        <f t="shared" si="76"/>
        <v>Rest of Oceania</v>
      </c>
      <c r="DL156" s="539" t="s">
        <v>35</v>
      </c>
      <c r="DN156" s="539" t="s">
        <v>2657</v>
      </c>
      <c r="DO156" s="539" t="s">
        <v>2658</v>
      </c>
    </row>
    <row r="157" spans="49:119">
      <c r="AW157" s="1394" t="s">
        <v>44</v>
      </c>
      <c r="AX157" s="1394" t="s">
        <v>2086</v>
      </c>
      <c r="AY157" s="1396" t="s">
        <v>2162</v>
      </c>
      <c r="AZ157" s="1394">
        <v>130</v>
      </c>
      <c r="BA157" s="527" t="s">
        <v>2349</v>
      </c>
      <c r="BB157" s="535">
        <v>6.1967994552264214</v>
      </c>
      <c r="BC157" s="534" t="s">
        <v>2006</v>
      </c>
      <c r="BD157" s="536"/>
      <c r="BE157" s="536"/>
      <c r="BF157" s="534"/>
      <c r="BG157" s="536"/>
      <c r="BH157" s="537">
        <f t="shared" si="66"/>
        <v>17.100000000000001</v>
      </c>
      <c r="BI157" s="537">
        <f t="shared" si="67"/>
        <v>2.6</v>
      </c>
      <c r="BJ157" s="537">
        <f t="shared" si="68"/>
        <v>44.9</v>
      </c>
      <c r="BK157" s="537">
        <f t="shared" si="69"/>
        <v>4.7</v>
      </c>
      <c r="BL157" s="537">
        <f t="shared" si="70"/>
        <v>9.5</v>
      </c>
      <c r="BM157" s="537">
        <f t="shared" si="71"/>
        <v>5.6</v>
      </c>
      <c r="BN157" s="537">
        <f t="shared" si="72"/>
        <v>10.8</v>
      </c>
      <c r="BO157" s="537">
        <f t="shared" si="73"/>
        <v>4.8000000000000114</v>
      </c>
      <c r="BP157" s="537">
        <f t="shared" si="65"/>
        <v>100</v>
      </c>
      <c r="BQ157" s="534" t="s">
        <v>1979</v>
      </c>
      <c r="BR157" s="556">
        <v>8.8539999999999994E-2</v>
      </c>
      <c r="BS157" s="556">
        <v>8.8539999999999994E-2</v>
      </c>
      <c r="BT157" s="556">
        <v>1.719E-2</v>
      </c>
      <c r="BU157" s="556">
        <v>7.3859999999999995E-2</v>
      </c>
      <c r="BV157" s="556">
        <v>4.929E-2</v>
      </c>
      <c r="BW157" s="557" t="s">
        <v>2275</v>
      </c>
      <c r="BX157" s="534" t="s">
        <v>2276</v>
      </c>
      <c r="DH157" s="539" t="str">
        <f t="shared" si="74"/>
        <v>Chile</v>
      </c>
      <c r="DI157" s="539" t="str">
        <f t="shared" si="75"/>
        <v>Americas</v>
      </c>
      <c r="DJ157" s="539" t="str">
        <f t="shared" si="76"/>
        <v>South America</v>
      </c>
      <c r="DL157" s="539" t="s">
        <v>35</v>
      </c>
      <c r="DN157" s="539" t="s">
        <v>2660</v>
      </c>
      <c r="DO157" s="539" t="s">
        <v>2661</v>
      </c>
    </row>
    <row r="158" spans="49:119" ht="25.5">
      <c r="AW158" s="1395" t="s">
        <v>2411</v>
      </c>
      <c r="AX158" s="1394" t="s">
        <v>2086</v>
      </c>
      <c r="AY158" s="1396" t="s">
        <v>2162</v>
      </c>
      <c r="AZ158" s="1395">
        <v>404</v>
      </c>
      <c r="BA158" s="527" t="s">
        <v>1977</v>
      </c>
      <c r="BB158" s="535">
        <v>11.740747004194485</v>
      </c>
      <c r="BC158" s="534" t="s">
        <v>2263</v>
      </c>
      <c r="BD158" s="536"/>
      <c r="BE158" s="536"/>
      <c r="BF158" s="534"/>
      <c r="BG158" s="536"/>
      <c r="BH158" s="537">
        <f t="shared" si="66"/>
        <v>17.100000000000001</v>
      </c>
      <c r="BI158" s="537">
        <f t="shared" si="67"/>
        <v>2.6</v>
      </c>
      <c r="BJ158" s="537">
        <f t="shared" si="68"/>
        <v>44.9</v>
      </c>
      <c r="BK158" s="537">
        <f t="shared" si="69"/>
        <v>4.7</v>
      </c>
      <c r="BL158" s="537">
        <f t="shared" si="70"/>
        <v>9.5</v>
      </c>
      <c r="BM158" s="537">
        <f t="shared" si="71"/>
        <v>5.6</v>
      </c>
      <c r="BN158" s="537">
        <f t="shared" si="72"/>
        <v>10.8</v>
      </c>
      <c r="BO158" s="537">
        <f t="shared" si="73"/>
        <v>4.8000000000000114</v>
      </c>
      <c r="BP158" s="537">
        <f t="shared" si="65"/>
        <v>100</v>
      </c>
      <c r="BQ158" s="534" t="s">
        <v>1979</v>
      </c>
      <c r="BR158" s="556">
        <v>8.8539999999999994E-2</v>
      </c>
      <c r="BS158" s="556">
        <v>8.8539999999999994E-2</v>
      </c>
      <c r="BT158" s="556">
        <v>1.719E-2</v>
      </c>
      <c r="BU158" s="556">
        <v>7.3859999999999995E-2</v>
      </c>
      <c r="BV158" s="556">
        <v>4.929E-2</v>
      </c>
      <c r="BW158" s="557" t="s">
        <v>2275</v>
      </c>
      <c r="BX158" s="534" t="s">
        <v>2276</v>
      </c>
      <c r="DH158" s="539" t="str">
        <f t="shared" si="74"/>
        <v>Colombia</v>
      </c>
      <c r="DI158" s="539" t="str">
        <f t="shared" si="75"/>
        <v>Americas</v>
      </c>
      <c r="DJ158" s="539" t="str">
        <f t="shared" si="76"/>
        <v>South America</v>
      </c>
      <c r="DL158" s="539" t="s">
        <v>35</v>
      </c>
      <c r="DN158" s="539" t="s">
        <v>2663</v>
      </c>
      <c r="DO158" s="539" t="s">
        <v>2664</v>
      </c>
    </row>
    <row r="159" spans="49:119">
      <c r="AW159" s="1395" t="s">
        <v>2457</v>
      </c>
      <c r="AX159" s="1394" t="s">
        <v>2086</v>
      </c>
      <c r="AY159" s="1396" t="s">
        <v>2162</v>
      </c>
      <c r="AZ159" s="1395">
        <v>335</v>
      </c>
      <c r="BA159" s="527" t="s">
        <v>1977</v>
      </c>
      <c r="BB159" s="551">
        <v>13.705654469711041</v>
      </c>
      <c r="BC159" s="534" t="s">
        <v>2006</v>
      </c>
      <c r="BD159" s="536"/>
      <c r="BE159" s="536"/>
      <c r="BF159" s="534"/>
      <c r="BG159" s="536"/>
      <c r="BH159" s="517">
        <v>14</v>
      </c>
      <c r="BI159" s="517">
        <v>3</v>
      </c>
      <c r="BJ159" s="517">
        <v>34</v>
      </c>
      <c r="BK159" s="517">
        <v>1</v>
      </c>
      <c r="BL159" s="517">
        <v>15</v>
      </c>
      <c r="BM159" s="517">
        <v>3</v>
      </c>
      <c r="BN159" s="517" t="s">
        <v>1966</v>
      </c>
      <c r="BO159" s="517">
        <f>100-SUM(BH159:BN159)</f>
        <v>30</v>
      </c>
      <c r="BP159" s="537">
        <f t="shared" si="65"/>
        <v>100</v>
      </c>
      <c r="BQ159" s="527" t="s">
        <v>2669</v>
      </c>
      <c r="BR159" s="556">
        <v>8.8539999999999994E-2</v>
      </c>
      <c r="BS159" s="556">
        <v>8.8539999999999994E-2</v>
      </c>
      <c r="BT159" s="556">
        <v>1.719E-2</v>
      </c>
      <c r="BU159" s="556">
        <v>7.3859999999999995E-2</v>
      </c>
      <c r="BV159" s="556">
        <v>4.929E-2</v>
      </c>
      <c r="BW159" s="557" t="s">
        <v>2275</v>
      </c>
      <c r="BX159" s="534" t="s">
        <v>2276</v>
      </c>
      <c r="DH159" s="539" t="str">
        <f t="shared" si="74"/>
        <v>Ecuador</v>
      </c>
      <c r="DI159" s="539" t="str">
        <f t="shared" si="75"/>
        <v>Americas</v>
      </c>
      <c r="DJ159" s="539" t="str">
        <f t="shared" si="76"/>
        <v>South America</v>
      </c>
      <c r="DL159" s="539" t="s">
        <v>35</v>
      </c>
      <c r="DN159" s="539" t="s">
        <v>2666</v>
      </c>
      <c r="DO159" s="539" t="s">
        <v>2667</v>
      </c>
    </row>
    <row r="160" spans="49:119" ht="25.5">
      <c r="AW160" s="1395" t="s">
        <v>2511</v>
      </c>
      <c r="AX160" s="1394" t="s">
        <v>2086</v>
      </c>
      <c r="AY160" s="1396" t="s">
        <v>2162</v>
      </c>
      <c r="AZ160" s="1395">
        <v>607</v>
      </c>
      <c r="BA160" s="527" t="s">
        <v>1977</v>
      </c>
      <c r="BB160" s="535">
        <v>5.4123414965002699</v>
      </c>
      <c r="BC160" s="534" t="s">
        <v>2049</v>
      </c>
      <c r="BD160" s="536"/>
      <c r="BE160" s="536"/>
      <c r="BF160" s="534"/>
      <c r="BG160" s="536"/>
      <c r="BH160" s="537">
        <f t="shared" ref="BH160:BH191" si="77">+VLOOKUP($AY160,$BZ$3:$CH$21,2,FALSE)</f>
        <v>17.100000000000001</v>
      </c>
      <c r="BI160" s="537">
        <f t="shared" ref="BI160:BI191" si="78">+VLOOKUP($AY160,$BZ$3:$CH$21,3,FALSE)</f>
        <v>2.6</v>
      </c>
      <c r="BJ160" s="537">
        <f t="shared" ref="BJ160:BJ191" si="79">+VLOOKUP($AY160,$BZ$3:$CH$21,4,FALSE)</f>
        <v>44.9</v>
      </c>
      <c r="BK160" s="537">
        <f t="shared" ref="BK160:BK191" si="80">+VLOOKUP($AY160,$BZ$3:$CH$21,5,FALSE)</f>
        <v>4.7</v>
      </c>
      <c r="BL160" s="537">
        <f t="shared" ref="BL160:BL191" si="81">+VLOOKUP($AY160,$BZ$3:$CH$21,6,FALSE)</f>
        <v>9.5</v>
      </c>
      <c r="BM160" s="537">
        <f t="shared" ref="BM160:BM191" si="82">+VLOOKUP($AY160,$BZ$3:$CH$21,7,FALSE)</f>
        <v>5.6</v>
      </c>
      <c r="BN160" s="537">
        <f t="shared" ref="BN160:BN191" si="83">+VLOOKUP($AY160,$BZ$3:$CH$21,8,FALSE)</f>
        <v>10.8</v>
      </c>
      <c r="BO160" s="537">
        <f t="shared" ref="BO160:BO191" si="84">+VLOOKUP($AY160,$BZ$3:$CH$21,9,FALSE)</f>
        <v>4.8000000000000114</v>
      </c>
      <c r="BP160" s="537">
        <f t="shared" si="65"/>
        <v>100</v>
      </c>
      <c r="BQ160" s="534" t="s">
        <v>1979</v>
      </c>
      <c r="BR160" s="556">
        <v>8.8539999999999994E-2</v>
      </c>
      <c r="BS160" s="556">
        <v>8.8539999999999994E-2</v>
      </c>
      <c r="BT160" s="556">
        <v>1.719E-2</v>
      </c>
      <c r="BU160" s="556">
        <v>7.3859999999999995E-2</v>
      </c>
      <c r="BV160" s="556">
        <v>4.929E-2</v>
      </c>
      <c r="BW160" s="557" t="s">
        <v>2275</v>
      </c>
      <c r="BX160" s="534" t="s">
        <v>2276</v>
      </c>
      <c r="DH160" s="539" t="str">
        <f t="shared" si="74"/>
        <v>French Guiana</v>
      </c>
      <c r="DI160" s="539" t="str">
        <f t="shared" si="75"/>
        <v>Americas</v>
      </c>
      <c r="DJ160" s="539" t="str">
        <f t="shared" si="76"/>
        <v>South America</v>
      </c>
      <c r="DK160" s="539" t="e">
        <f>VLOOKUP(DH160,#REF!,1)</f>
        <v>#REF!</v>
      </c>
      <c r="DL160" s="539" t="e">
        <f>VLOOKUP(DK160,#REF!,2,FALSE)</f>
        <v>#REF!</v>
      </c>
      <c r="DN160" s="539" t="s">
        <v>2670</v>
      </c>
      <c r="DO160" s="539" t="s">
        <v>2671</v>
      </c>
    </row>
    <row r="161" spans="49:119">
      <c r="AW161" s="1395" t="s">
        <v>2699</v>
      </c>
      <c r="AX161" s="1394" t="s">
        <v>2086</v>
      </c>
      <c r="AY161" s="1396" t="s">
        <v>2162</v>
      </c>
      <c r="AZ161" s="1395">
        <v>43</v>
      </c>
      <c r="BA161" s="527" t="s">
        <v>1977</v>
      </c>
      <c r="BB161" s="535">
        <v>21.528686226873482</v>
      </c>
      <c r="BC161" s="534" t="s">
        <v>2006</v>
      </c>
      <c r="BD161" s="536"/>
      <c r="BE161" s="536"/>
      <c r="BF161" s="534"/>
      <c r="BG161" s="536"/>
      <c r="BH161" s="537">
        <f t="shared" si="77"/>
        <v>17.100000000000001</v>
      </c>
      <c r="BI161" s="537">
        <f t="shared" si="78"/>
        <v>2.6</v>
      </c>
      <c r="BJ161" s="537">
        <f t="shared" si="79"/>
        <v>44.9</v>
      </c>
      <c r="BK161" s="537">
        <f t="shared" si="80"/>
        <v>4.7</v>
      </c>
      <c r="BL161" s="537">
        <f t="shared" si="81"/>
        <v>9.5</v>
      </c>
      <c r="BM161" s="537">
        <f t="shared" si="82"/>
        <v>5.6</v>
      </c>
      <c r="BN161" s="537">
        <f t="shared" si="83"/>
        <v>10.8</v>
      </c>
      <c r="BO161" s="537">
        <f t="shared" si="84"/>
        <v>4.8000000000000114</v>
      </c>
      <c r="BP161" s="537">
        <f t="shared" si="65"/>
        <v>100</v>
      </c>
      <c r="BQ161" s="534" t="s">
        <v>1979</v>
      </c>
      <c r="BR161" s="556">
        <v>8.8539999999999994E-2</v>
      </c>
      <c r="BS161" s="556">
        <v>8.8539999999999994E-2</v>
      </c>
      <c r="BT161" s="556">
        <v>1.719E-2</v>
      </c>
      <c r="BU161" s="556">
        <v>7.3859999999999995E-2</v>
      </c>
      <c r="BV161" s="556">
        <v>4.929E-2</v>
      </c>
      <c r="BW161" s="557" t="s">
        <v>2275</v>
      </c>
      <c r="BX161" s="534" t="s">
        <v>2276</v>
      </c>
      <c r="DH161" s="539" t="str">
        <f t="shared" si="74"/>
        <v>Guyana</v>
      </c>
      <c r="DI161" s="539" t="str">
        <f t="shared" si="75"/>
        <v>Americas</v>
      </c>
      <c r="DJ161" s="539" t="str">
        <f t="shared" si="76"/>
        <v>South America</v>
      </c>
      <c r="DL161" s="539" t="s">
        <v>35</v>
      </c>
      <c r="DN161" s="539" t="s">
        <v>2673</v>
      </c>
      <c r="DO161" s="539" t="s">
        <v>2673</v>
      </c>
    </row>
    <row r="162" spans="49:119" ht="25.5">
      <c r="AW162" s="1395" t="s">
        <v>2700</v>
      </c>
      <c r="AX162" s="1394" t="s">
        <v>2086</v>
      </c>
      <c r="AY162" s="1396" t="s">
        <v>2162</v>
      </c>
      <c r="AZ162" s="1395">
        <v>301</v>
      </c>
      <c r="BA162" s="527" t="s">
        <v>1977</v>
      </c>
      <c r="BB162" s="535">
        <v>6.2171813834411278</v>
      </c>
      <c r="BC162" s="534" t="s">
        <v>2062</v>
      </c>
      <c r="BD162" s="536"/>
      <c r="BE162" s="536"/>
      <c r="BF162" s="534"/>
      <c r="BG162" s="536"/>
      <c r="BH162" s="537">
        <f t="shared" si="77"/>
        <v>17.100000000000001</v>
      </c>
      <c r="BI162" s="537">
        <f t="shared" si="78"/>
        <v>2.6</v>
      </c>
      <c r="BJ162" s="537">
        <f t="shared" si="79"/>
        <v>44.9</v>
      </c>
      <c r="BK162" s="537">
        <f t="shared" si="80"/>
        <v>4.7</v>
      </c>
      <c r="BL162" s="537">
        <f t="shared" si="81"/>
        <v>9.5</v>
      </c>
      <c r="BM162" s="537">
        <f t="shared" si="82"/>
        <v>5.6</v>
      </c>
      <c r="BN162" s="537">
        <f t="shared" si="83"/>
        <v>10.8</v>
      </c>
      <c r="BO162" s="537">
        <f t="shared" si="84"/>
        <v>4.8000000000000114</v>
      </c>
      <c r="BP162" s="537">
        <f t="shared" si="65"/>
        <v>100</v>
      </c>
      <c r="BQ162" s="534" t="s">
        <v>1979</v>
      </c>
      <c r="BR162" s="556">
        <v>8.8539999999999994E-2</v>
      </c>
      <c r="BS162" s="556">
        <v>8.8539999999999994E-2</v>
      </c>
      <c r="BT162" s="556">
        <v>1.719E-2</v>
      </c>
      <c r="BU162" s="556">
        <v>7.3859999999999995E-2</v>
      </c>
      <c r="BV162" s="556">
        <v>4.929E-2</v>
      </c>
      <c r="BW162" s="557" t="s">
        <v>2275</v>
      </c>
      <c r="BX162" s="534" t="s">
        <v>2276</v>
      </c>
      <c r="DH162" s="539" t="str">
        <f t="shared" si="74"/>
        <v>Paraguay</v>
      </c>
      <c r="DI162" s="539" t="str">
        <f t="shared" si="75"/>
        <v>Americas</v>
      </c>
      <c r="DJ162" s="539" t="str">
        <f t="shared" si="76"/>
        <v>South America</v>
      </c>
      <c r="DL162" s="539" t="s">
        <v>35</v>
      </c>
    </row>
    <row r="163" spans="49:119">
      <c r="AW163" s="1395" t="s">
        <v>2731</v>
      </c>
      <c r="AX163" s="1394" t="s">
        <v>2086</v>
      </c>
      <c r="AY163" s="1396" t="s">
        <v>2162</v>
      </c>
      <c r="AZ163" s="1395">
        <v>485</v>
      </c>
      <c r="BA163" s="527" t="s">
        <v>1977</v>
      </c>
      <c r="BB163" s="535">
        <v>14.750744047619047</v>
      </c>
      <c r="BC163" s="534" t="s">
        <v>2006</v>
      </c>
      <c r="BD163" s="536"/>
      <c r="BE163" s="536"/>
      <c r="BF163" s="534"/>
      <c r="BG163" s="536"/>
      <c r="BH163" s="537">
        <f t="shared" si="77"/>
        <v>17.100000000000001</v>
      </c>
      <c r="BI163" s="537">
        <f t="shared" si="78"/>
        <v>2.6</v>
      </c>
      <c r="BJ163" s="537">
        <f t="shared" si="79"/>
        <v>44.9</v>
      </c>
      <c r="BK163" s="537">
        <f t="shared" si="80"/>
        <v>4.7</v>
      </c>
      <c r="BL163" s="537">
        <f t="shared" si="81"/>
        <v>9.5</v>
      </c>
      <c r="BM163" s="537">
        <f t="shared" si="82"/>
        <v>5.6</v>
      </c>
      <c r="BN163" s="537">
        <f t="shared" si="83"/>
        <v>10.8</v>
      </c>
      <c r="BO163" s="537">
        <f t="shared" si="84"/>
        <v>4.8000000000000114</v>
      </c>
      <c r="BP163" s="537">
        <f t="shared" si="65"/>
        <v>100</v>
      </c>
      <c r="BQ163" s="534" t="s">
        <v>1979</v>
      </c>
      <c r="BR163" s="556">
        <v>8.8539999999999994E-2</v>
      </c>
      <c r="BS163" s="556">
        <v>8.8539999999999994E-2</v>
      </c>
      <c r="BT163" s="556">
        <v>1.719E-2</v>
      </c>
      <c r="BU163" s="556">
        <v>7.3859999999999995E-2</v>
      </c>
      <c r="BV163" s="556">
        <v>4.929E-2</v>
      </c>
      <c r="BW163" s="557" t="s">
        <v>2275</v>
      </c>
      <c r="BX163" s="534" t="s">
        <v>2276</v>
      </c>
      <c r="DH163" s="539" t="str">
        <f t="shared" si="74"/>
        <v>Peru</v>
      </c>
      <c r="DI163" s="539" t="str">
        <f t="shared" si="75"/>
        <v>Americas</v>
      </c>
      <c r="DJ163" s="539" t="str">
        <f t="shared" si="76"/>
        <v>South America</v>
      </c>
      <c r="DL163" s="539" t="s">
        <v>35</v>
      </c>
    </row>
    <row r="164" spans="49:119">
      <c r="AW164" s="1394" t="s">
        <v>2752</v>
      </c>
      <c r="AX164" s="1394" t="s">
        <v>2086</v>
      </c>
      <c r="AY164" s="1396" t="s">
        <v>2162</v>
      </c>
      <c r="AZ164" s="1394">
        <v>28</v>
      </c>
      <c r="BA164" s="527" t="s">
        <v>2753</v>
      </c>
      <c r="BB164" s="535">
        <v>17.554364954301924</v>
      </c>
      <c r="BC164" s="534" t="s">
        <v>2006</v>
      </c>
      <c r="BD164" s="536"/>
      <c r="BE164" s="536"/>
      <c r="BF164" s="534"/>
      <c r="BG164" s="536"/>
      <c r="BH164" s="537">
        <f t="shared" si="77"/>
        <v>17.100000000000001</v>
      </c>
      <c r="BI164" s="537">
        <f t="shared" si="78"/>
        <v>2.6</v>
      </c>
      <c r="BJ164" s="537">
        <f t="shared" si="79"/>
        <v>44.9</v>
      </c>
      <c r="BK164" s="537">
        <f t="shared" si="80"/>
        <v>4.7</v>
      </c>
      <c r="BL164" s="537">
        <f t="shared" si="81"/>
        <v>9.5</v>
      </c>
      <c r="BM164" s="537">
        <f t="shared" si="82"/>
        <v>5.6</v>
      </c>
      <c r="BN164" s="537">
        <f t="shared" si="83"/>
        <v>10.8</v>
      </c>
      <c r="BO164" s="537">
        <f t="shared" si="84"/>
        <v>4.8000000000000114</v>
      </c>
      <c r="BP164" s="537">
        <f t="shared" si="65"/>
        <v>100</v>
      </c>
      <c r="BQ164" s="534" t="s">
        <v>1979</v>
      </c>
      <c r="BR164" s="556">
        <v>8.8539999999999994E-2</v>
      </c>
      <c r="BS164" s="556">
        <v>8.8539999999999994E-2</v>
      </c>
      <c r="BT164" s="556">
        <v>1.719E-2</v>
      </c>
      <c r="BU164" s="556">
        <v>7.3859999999999995E-2</v>
      </c>
      <c r="BV164" s="556">
        <v>4.929E-2</v>
      </c>
      <c r="BW164" s="557" t="s">
        <v>2275</v>
      </c>
      <c r="BX164" s="534" t="s">
        <v>2276</v>
      </c>
      <c r="DH164" s="539" t="str">
        <f t="shared" si="74"/>
        <v>Suriname</v>
      </c>
      <c r="DI164" s="539" t="str">
        <f t="shared" si="75"/>
        <v>Americas</v>
      </c>
      <c r="DJ164" s="539" t="str">
        <f t="shared" si="76"/>
        <v>South America</v>
      </c>
      <c r="DL164" s="539" t="s">
        <v>35</v>
      </c>
    </row>
    <row r="165" spans="49:119" ht="25.5">
      <c r="AW165" s="1395" t="s">
        <v>2757</v>
      </c>
      <c r="AX165" s="1394" t="s">
        <v>2086</v>
      </c>
      <c r="AY165" s="1396" t="s">
        <v>2162</v>
      </c>
      <c r="AZ165" s="1395">
        <v>345</v>
      </c>
      <c r="BA165" s="527" t="s">
        <v>1977</v>
      </c>
      <c r="BB165" s="535">
        <v>9.3894684857089938</v>
      </c>
      <c r="BC165" s="534" t="s">
        <v>2087</v>
      </c>
      <c r="BD165" s="536"/>
      <c r="BE165" s="536"/>
      <c r="BF165" s="534"/>
      <c r="BG165" s="536"/>
      <c r="BH165" s="537">
        <f t="shared" si="77"/>
        <v>17.100000000000001</v>
      </c>
      <c r="BI165" s="537">
        <f t="shared" si="78"/>
        <v>2.6</v>
      </c>
      <c r="BJ165" s="537">
        <f t="shared" si="79"/>
        <v>44.9</v>
      </c>
      <c r="BK165" s="537">
        <f t="shared" si="80"/>
        <v>4.7</v>
      </c>
      <c r="BL165" s="537">
        <f t="shared" si="81"/>
        <v>9.5</v>
      </c>
      <c r="BM165" s="537">
        <f t="shared" si="82"/>
        <v>5.6</v>
      </c>
      <c r="BN165" s="537">
        <f t="shared" si="83"/>
        <v>10.8</v>
      </c>
      <c r="BO165" s="537">
        <f t="shared" si="84"/>
        <v>4.8000000000000114</v>
      </c>
      <c r="BP165" s="537">
        <f t="shared" si="65"/>
        <v>100</v>
      </c>
      <c r="BQ165" s="534" t="s">
        <v>1979</v>
      </c>
      <c r="BR165" s="556">
        <v>8.8539999999999994E-2</v>
      </c>
      <c r="BS165" s="556">
        <v>8.8539999999999994E-2</v>
      </c>
      <c r="BT165" s="556">
        <v>1.719E-2</v>
      </c>
      <c r="BU165" s="556">
        <v>7.3859999999999995E-2</v>
      </c>
      <c r="BV165" s="556">
        <v>4.929E-2</v>
      </c>
      <c r="BW165" s="557" t="s">
        <v>2275</v>
      </c>
      <c r="BX165" s="534" t="s">
        <v>2276</v>
      </c>
      <c r="DH165" s="539" t="str">
        <f t="shared" si="74"/>
        <v>Uruguay</v>
      </c>
      <c r="DI165" s="539" t="str">
        <f t="shared" si="75"/>
        <v>Americas</v>
      </c>
      <c r="DJ165" s="539" t="str">
        <f t="shared" si="76"/>
        <v>South America</v>
      </c>
      <c r="DL165" s="539" t="s">
        <v>35</v>
      </c>
    </row>
    <row r="166" spans="49:119">
      <c r="AW166" s="1394" t="s">
        <v>49</v>
      </c>
      <c r="AX166" s="1394" t="s">
        <v>1976</v>
      </c>
      <c r="AY166" s="1396" t="s">
        <v>2007</v>
      </c>
      <c r="AZ166" s="1394">
        <v>708</v>
      </c>
      <c r="BA166" s="527" t="s">
        <v>2534</v>
      </c>
      <c r="BB166" s="535">
        <v>14.704654560634523</v>
      </c>
      <c r="BC166" s="534" t="s">
        <v>2006</v>
      </c>
      <c r="BD166" s="536"/>
      <c r="BE166" s="536"/>
      <c r="BF166" s="534"/>
      <c r="BG166" s="536"/>
      <c r="BH166" s="537">
        <f t="shared" si="77"/>
        <v>11.3</v>
      </c>
      <c r="BI166" s="537">
        <f t="shared" si="78"/>
        <v>2.5</v>
      </c>
      <c r="BJ166" s="537">
        <f t="shared" si="79"/>
        <v>40.299999999999997</v>
      </c>
      <c r="BK166" s="537">
        <f t="shared" si="80"/>
        <v>7.9</v>
      </c>
      <c r="BL166" s="537">
        <f t="shared" si="81"/>
        <v>9.5</v>
      </c>
      <c r="BM166" s="537">
        <f t="shared" si="82"/>
        <v>5.6</v>
      </c>
      <c r="BN166" s="537">
        <f t="shared" si="83"/>
        <v>6.4</v>
      </c>
      <c r="BO166" s="537">
        <f t="shared" si="84"/>
        <v>16.5</v>
      </c>
      <c r="BP166" s="537">
        <f t="shared" si="65"/>
        <v>100</v>
      </c>
      <c r="BQ166" s="534" t="s">
        <v>1979</v>
      </c>
      <c r="BR166" s="556">
        <v>8.8539999999999994E-2</v>
      </c>
      <c r="BS166" s="556">
        <v>8.8539999999999994E-2</v>
      </c>
      <c r="BT166" s="556">
        <v>1.719E-2</v>
      </c>
      <c r="BU166" s="556">
        <v>7.3859999999999995E-2</v>
      </c>
      <c r="BV166" s="556">
        <v>4.929E-2</v>
      </c>
      <c r="BW166" s="557" t="s">
        <v>2275</v>
      </c>
      <c r="BX166" s="534" t="s">
        <v>2276</v>
      </c>
      <c r="DH166" s="539" t="str">
        <f t="shared" si="74"/>
        <v>Venezuela</v>
      </c>
      <c r="DI166" s="539" t="str">
        <f t="shared" si="75"/>
        <v>Americas</v>
      </c>
      <c r="DJ166" s="539" t="str">
        <f t="shared" si="76"/>
        <v>South America</v>
      </c>
      <c r="DL166" s="539" t="s">
        <v>35</v>
      </c>
    </row>
    <row r="167" spans="49:119">
      <c r="AW167" s="1395" t="s">
        <v>2570</v>
      </c>
      <c r="AX167" s="1395" t="s">
        <v>1976</v>
      </c>
      <c r="AY167" s="1396" t="s">
        <v>2007</v>
      </c>
      <c r="AZ167" s="1395">
        <v>653</v>
      </c>
      <c r="BA167" s="527" t="s">
        <v>1977</v>
      </c>
      <c r="BB167" s="535">
        <v>14.720468890892697</v>
      </c>
      <c r="BC167" s="534" t="s">
        <v>2006</v>
      </c>
      <c r="BD167" s="536"/>
      <c r="BE167" s="536"/>
      <c r="BF167" s="534"/>
      <c r="BG167" s="536"/>
      <c r="BH167" s="537">
        <f t="shared" si="77"/>
        <v>11.3</v>
      </c>
      <c r="BI167" s="537">
        <f t="shared" si="78"/>
        <v>2.5</v>
      </c>
      <c r="BJ167" s="537">
        <f t="shared" si="79"/>
        <v>40.299999999999997</v>
      </c>
      <c r="BK167" s="537">
        <f t="shared" si="80"/>
        <v>7.9</v>
      </c>
      <c r="BL167" s="537">
        <f t="shared" si="81"/>
        <v>9.5</v>
      </c>
      <c r="BM167" s="537">
        <f t="shared" si="82"/>
        <v>5.6</v>
      </c>
      <c r="BN167" s="537">
        <f t="shared" si="83"/>
        <v>6.4</v>
      </c>
      <c r="BO167" s="537">
        <f t="shared" si="84"/>
        <v>16.5</v>
      </c>
      <c r="BP167" s="537">
        <f t="shared" si="65"/>
        <v>100</v>
      </c>
      <c r="BQ167" s="534" t="s">
        <v>1979</v>
      </c>
      <c r="BR167" s="556">
        <v>8.8539999999999994E-2</v>
      </c>
      <c r="BS167" s="556">
        <v>8.8539999999999994E-2</v>
      </c>
      <c r="BT167" s="556">
        <v>1.719E-2</v>
      </c>
      <c r="BU167" s="556">
        <v>7.3859999999999995E-2</v>
      </c>
      <c r="BV167" s="556">
        <v>4.929E-2</v>
      </c>
      <c r="BW167" s="557" t="s">
        <v>2275</v>
      </c>
      <c r="BX167" s="534" t="s">
        <v>2276</v>
      </c>
      <c r="DH167" s="539" t="str">
        <f t="shared" si="74"/>
        <v>India</v>
      </c>
      <c r="DI167" s="539" t="str">
        <f t="shared" si="75"/>
        <v>Asia</v>
      </c>
      <c r="DJ167" s="539" t="str">
        <f t="shared" si="76"/>
        <v>South-Central Asia</v>
      </c>
      <c r="DL167" s="539" t="s">
        <v>35</v>
      </c>
    </row>
    <row r="168" spans="49:119">
      <c r="AW168" s="1395" t="s">
        <v>2598</v>
      </c>
      <c r="AX168" s="1395" t="s">
        <v>1976</v>
      </c>
      <c r="AY168" s="1396" t="s">
        <v>2007</v>
      </c>
      <c r="AZ168" s="1395">
        <v>156</v>
      </c>
      <c r="BA168" s="527" t="s">
        <v>1977</v>
      </c>
      <c r="BB168" s="535">
        <v>20.491629582538671</v>
      </c>
      <c r="BC168" s="534" t="s">
        <v>2006</v>
      </c>
      <c r="BD168" s="536"/>
      <c r="BE168" s="536"/>
      <c r="BF168" s="534"/>
      <c r="BG168" s="536"/>
      <c r="BH168" s="537">
        <f t="shared" si="77"/>
        <v>11.3</v>
      </c>
      <c r="BI168" s="537">
        <f t="shared" si="78"/>
        <v>2.5</v>
      </c>
      <c r="BJ168" s="537">
        <f t="shared" si="79"/>
        <v>40.299999999999997</v>
      </c>
      <c r="BK168" s="537">
        <f t="shared" si="80"/>
        <v>7.9</v>
      </c>
      <c r="BL168" s="537">
        <f t="shared" si="81"/>
        <v>9.5</v>
      </c>
      <c r="BM168" s="537">
        <f t="shared" si="82"/>
        <v>5.6</v>
      </c>
      <c r="BN168" s="537">
        <f t="shared" si="83"/>
        <v>6.4</v>
      </c>
      <c r="BO168" s="537">
        <f t="shared" si="84"/>
        <v>16.5</v>
      </c>
      <c r="BP168" s="537">
        <f t="shared" si="65"/>
        <v>100</v>
      </c>
      <c r="BQ168" s="534" t="s">
        <v>1979</v>
      </c>
      <c r="BR168" s="556">
        <v>8.8539999999999994E-2</v>
      </c>
      <c r="BS168" s="556">
        <v>8.8539999999999994E-2</v>
      </c>
      <c r="BT168" s="556">
        <v>1.719E-2</v>
      </c>
      <c r="BU168" s="556">
        <v>7.3859999999999995E-2</v>
      </c>
      <c r="BV168" s="556">
        <v>4.929E-2</v>
      </c>
      <c r="BW168" s="557" t="s">
        <v>2275</v>
      </c>
      <c r="BX168" s="534" t="s">
        <v>2276</v>
      </c>
      <c r="DH168" s="539" t="str">
        <f t="shared" si="74"/>
        <v>Kazakhstan</v>
      </c>
      <c r="DI168" s="539" t="str">
        <f t="shared" si="75"/>
        <v>Asia</v>
      </c>
      <c r="DJ168" s="539" t="str">
        <f t="shared" si="76"/>
        <v>South-Central Asia</v>
      </c>
      <c r="DL168" s="539" t="s">
        <v>35</v>
      </c>
    </row>
    <row r="169" spans="49:119">
      <c r="AW169" s="1395" t="s">
        <v>55</v>
      </c>
      <c r="AX169" s="1395" t="s">
        <v>1976</v>
      </c>
      <c r="AY169" s="1396" t="s">
        <v>2007</v>
      </c>
      <c r="AZ169" s="1395">
        <v>553</v>
      </c>
      <c r="BA169" s="527" t="s">
        <v>1977</v>
      </c>
      <c r="BB169" s="535">
        <v>36.248331108144193</v>
      </c>
      <c r="BC169" s="534" t="s">
        <v>2006</v>
      </c>
      <c r="BD169" s="536"/>
      <c r="BE169" s="536"/>
      <c r="BF169" s="534"/>
      <c r="BG169" s="536"/>
      <c r="BH169" s="537">
        <f t="shared" si="77"/>
        <v>11.3</v>
      </c>
      <c r="BI169" s="537">
        <f t="shared" si="78"/>
        <v>2.5</v>
      </c>
      <c r="BJ169" s="537">
        <f t="shared" si="79"/>
        <v>40.299999999999997</v>
      </c>
      <c r="BK169" s="537">
        <f t="shared" si="80"/>
        <v>7.9</v>
      </c>
      <c r="BL169" s="537">
        <f t="shared" si="81"/>
        <v>9.5</v>
      </c>
      <c r="BM169" s="537">
        <f t="shared" si="82"/>
        <v>5.6</v>
      </c>
      <c r="BN169" s="537">
        <f t="shared" si="83"/>
        <v>6.4</v>
      </c>
      <c r="BO169" s="537">
        <f t="shared" si="84"/>
        <v>16.5</v>
      </c>
      <c r="BP169" s="537">
        <f t="shared" si="65"/>
        <v>100</v>
      </c>
      <c r="BQ169" s="534" t="s">
        <v>1979</v>
      </c>
      <c r="BR169" s="556">
        <v>8.8539999999999994E-2</v>
      </c>
      <c r="BS169" s="556">
        <v>8.8539999999999994E-2</v>
      </c>
      <c r="BT169" s="556">
        <v>1.719E-2</v>
      </c>
      <c r="BU169" s="556">
        <v>7.3859999999999995E-2</v>
      </c>
      <c r="BV169" s="556">
        <v>4.929E-2</v>
      </c>
      <c r="BW169" s="557" t="s">
        <v>2275</v>
      </c>
      <c r="BX169" s="534" t="s">
        <v>2276</v>
      </c>
      <c r="DH169" s="539" t="str">
        <f t="shared" si="74"/>
        <v>Kyrgyzstan</v>
      </c>
      <c r="DI169" s="539" t="str">
        <f t="shared" si="75"/>
        <v>Asia</v>
      </c>
      <c r="DJ169" s="539" t="str">
        <f t="shared" si="76"/>
        <v>South-Central Asia</v>
      </c>
      <c r="DL169" s="539" t="s">
        <v>35</v>
      </c>
    </row>
    <row r="170" spans="49:119" ht="25.5">
      <c r="AW170" s="1395" t="s">
        <v>2684</v>
      </c>
      <c r="AX170" s="1395" t="s">
        <v>1976</v>
      </c>
      <c r="AY170" s="1396" t="s">
        <v>2007</v>
      </c>
      <c r="AZ170" s="1395">
        <v>43</v>
      </c>
      <c r="BA170" s="527" t="s">
        <v>1977</v>
      </c>
      <c r="BB170" s="535">
        <v>5.4123414965002699</v>
      </c>
      <c r="BC170" s="534" t="s">
        <v>2049</v>
      </c>
      <c r="BD170" s="536"/>
      <c r="BE170" s="536"/>
      <c r="BF170" s="534"/>
      <c r="BG170" s="536"/>
      <c r="BH170" s="537">
        <f t="shared" si="77"/>
        <v>11.3</v>
      </c>
      <c r="BI170" s="537">
        <f t="shared" si="78"/>
        <v>2.5</v>
      </c>
      <c r="BJ170" s="537">
        <f t="shared" si="79"/>
        <v>40.299999999999997</v>
      </c>
      <c r="BK170" s="537">
        <f t="shared" si="80"/>
        <v>7.9</v>
      </c>
      <c r="BL170" s="537">
        <f t="shared" si="81"/>
        <v>9.5</v>
      </c>
      <c r="BM170" s="537">
        <f t="shared" si="82"/>
        <v>5.6</v>
      </c>
      <c r="BN170" s="537">
        <f t="shared" si="83"/>
        <v>6.4</v>
      </c>
      <c r="BO170" s="537">
        <f t="shared" si="84"/>
        <v>16.5</v>
      </c>
      <c r="BP170" s="537">
        <f t="shared" si="65"/>
        <v>100</v>
      </c>
      <c r="BQ170" s="534" t="s">
        <v>1979</v>
      </c>
      <c r="BR170" s="556">
        <v>8.8539999999999994E-2</v>
      </c>
      <c r="BS170" s="556">
        <v>8.8539999999999994E-2</v>
      </c>
      <c r="BT170" s="556">
        <v>1.719E-2</v>
      </c>
      <c r="BU170" s="556">
        <v>7.3859999999999995E-2</v>
      </c>
      <c r="BV170" s="556">
        <v>4.929E-2</v>
      </c>
      <c r="BW170" s="557" t="s">
        <v>2275</v>
      </c>
      <c r="BX170" s="534" t="s">
        <v>2276</v>
      </c>
      <c r="DH170" s="539" t="str">
        <f t="shared" si="74"/>
        <v>Maldives</v>
      </c>
      <c r="DI170" s="539" t="str">
        <f t="shared" si="75"/>
        <v>Asia</v>
      </c>
      <c r="DJ170" s="539" t="str">
        <f t="shared" si="76"/>
        <v>South-Central Asia</v>
      </c>
      <c r="DL170" s="539" t="s">
        <v>35</v>
      </c>
    </row>
    <row r="171" spans="49:119">
      <c r="AW171" s="1395" t="s">
        <v>2695</v>
      </c>
      <c r="AX171" s="1395" t="s">
        <v>1976</v>
      </c>
      <c r="AY171" s="1396" t="s">
        <v>2007</v>
      </c>
      <c r="AZ171" s="1395">
        <v>453</v>
      </c>
      <c r="BA171" s="527" t="s">
        <v>1977</v>
      </c>
      <c r="BB171" s="535">
        <v>32.209639188833286</v>
      </c>
      <c r="BC171" s="534" t="s">
        <v>2006</v>
      </c>
      <c r="BD171" s="536"/>
      <c r="BE171" s="536"/>
      <c r="BF171" s="534"/>
      <c r="BG171" s="536"/>
      <c r="BH171" s="537">
        <f t="shared" si="77"/>
        <v>11.3</v>
      </c>
      <c r="BI171" s="537">
        <f t="shared" si="78"/>
        <v>2.5</v>
      </c>
      <c r="BJ171" s="537">
        <f t="shared" si="79"/>
        <v>40.299999999999997</v>
      </c>
      <c r="BK171" s="537">
        <f t="shared" si="80"/>
        <v>7.9</v>
      </c>
      <c r="BL171" s="537">
        <f t="shared" si="81"/>
        <v>9.5</v>
      </c>
      <c r="BM171" s="537">
        <f t="shared" si="82"/>
        <v>5.6</v>
      </c>
      <c r="BN171" s="537">
        <f t="shared" si="83"/>
        <v>6.4</v>
      </c>
      <c r="BO171" s="537">
        <f t="shared" si="84"/>
        <v>16.5</v>
      </c>
      <c r="BP171" s="537">
        <f t="shared" si="65"/>
        <v>100</v>
      </c>
      <c r="BQ171" s="534" t="s">
        <v>1979</v>
      </c>
      <c r="BR171" s="556">
        <v>8.8539999999999994E-2</v>
      </c>
      <c r="BS171" s="556">
        <v>8.8539999999999994E-2</v>
      </c>
      <c r="BT171" s="556">
        <v>1.719E-2</v>
      </c>
      <c r="BU171" s="556">
        <v>7.3859999999999995E-2</v>
      </c>
      <c r="BV171" s="556">
        <v>4.929E-2</v>
      </c>
      <c r="BW171" s="557" t="s">
        <v>2275</v>
      </c>
      <c r="BX171" s="534" t="s">
        <v>2276</v>
      </c>
      <c r="DH171" s="539" t="str">
        <f t="shared" si="74"/>
        <v>Nepal</v>
      </c>
      <c r="DI171" s="539" t="str">
        <f t="shared" si="75"/>
        <v>Asia</v>
      </c>
      <c r="DJ171" s="539" t="str">
        <f t="shared" si="76"/>
        <v>South-Central Asia</v>
      </c>
      <c r="DL171" s="539" t="s">
        <v>35</v>
      </c>
    </row>
    <row r="172" spans="49:119">
      <c r="AW172" s="1395" t="s">
        <v>2729</v>
      </c>
      <c r="AX172" s="1395" t="s">
        <v>1976</v>
      </c>
      <c r="AY172" s="1396" t="s">
        <v>2007</v>
      </c>
      <c r="AZ172" s="1395">
        <v>468</v>
      </c>
      <c r="BA172" s="527" t="s">
        <v>1977</v>
      </c>
      <c r="BB172" s="535">
        <v>4.770929625403701</v>
      </c>
      <c r="BC172" s="534" t="s">
        <v>2006</v>
      </c>
      <c r="BD172" s="536"/>
      <c r="BE172" s="536"/>
      <c r="BF172" s="534"/>
      <c r="BG172" s="536"/>
      <c r="BH172" s="537">
        <f t="shared" si="77"/>
        <v>11.3</v>
      </c>
      <c r="BI172" s="537">
        <f t="shared" si="78"/>
        <v>2.5</v>
      </c>
      <c r="BJ172" s="537">
        <f t="shared" si="79"/>
        <v>40.299999999999997</v>
      </c>
      <c r="BK172" s="537">
        <f t="shared" si="80"/>
        <v>7.9</v>
      </c>
      <c r="BL172" s="537">
        <f t="shared" si="81"/>
        <v>9.5</v>
      </c>
      <c r="BM172" s="537">
        <f t="shared" si="82"/>
        <v>5.6</v>
      </c>
      <c r="BN172" s="537">
        <f t="shared" si="83"/>
        <v>6.4</v>
      </c>
      <c r="BO172" s="537">
        <f t="shared" si="84"/>
        <v>16.5</v>
      </c>
      <c r="BP172" s="537">
        <f t="shared" si="65"/>
        <v>100</v>
      </c>
      <c r="BQ172" s="534" t="s">
        <v>1979</v>
      </c>
      <c r="BR172" s="556">
        <v>8.8539999999999994E-2</v>
      </c>
      <c r="BS172" s="556">
        <v>8.8539999999999994E-2</v>
      </c>
      <c r="BT172" s="556">
        <v>1.719E-2</v>
      </c>
      <c r="BU172" s="556">
        <v>7.3859999999999995E-2</v>
      </c>
      <c r="BV172" s="556">
        <v>4.929E-2</v>
      </c>
      <c r="BW172" s="557" t="s">
        <v>2275</v>
      </c>
      <c r="BX172" s="534" t="s">
        <v>2276</v>
      </c>
      <c r="DH172" s="539" t="str">
        <f t="shared" ref="DH172:DH203" si="85">AW171</f>
        <v>Pakistan</v>
      </c>
      <c r="DI172" s="539" t="str">
        <f t="shared" ref="DI172:DI203" si="86">AX171</f>
        <v>Asia</v>
      </c>
      <c r="DJ172" s="539" t="str">
        <f t="shared" ref="DJ172:DJ203" si="87">AY171</f>
        <v>South-Central Asia</v>
      </c>
      <c r="DL172" s="539" t="s">
        <v>35</v>
      </c>
    </row>
    <row r="173" spans="49:119" ht="25.5">
      <c r="AW173" s="1395" t="s">
        <v>2736</v>
      </c>
      <c r="AX173" s="1395" t="s">
        <v>1976</v>
      </c>
      <c r="AY173" s="1396" t="s">
        <v>2007</v>
      </c>
      <c r="AZ173" s="1395">
        <v>63</v>
      </c>
      <c r="BA173" s="527" t="s">
        <v>1977</v>
      </c>
      <c r="BB173" s="535">
        <v>9.3894684857089938</v>
      </c>
      <c r="BC173" s="534" t="s">
        <v>2087</v>
      </c>
      <c r="BD173" s="536"/>
      <c r="BE173" s="536"/>
      <c r="BF173" s="534"/>
      <c r="BG173" s="536"/>
      <c r="BH173" s="537">
        <f t="shared" si="77"/>
        <v>11.3</v>
      </c>
      <c r="BI173" s="537">
        <f t="shared" si="78"/>
        <v>2.5</v>
      </c>
      <c r="BJ173" s="537">
        <f t="shared" si="79"/>
        <v>40.299999999999997</v>
      </c>
      <c r="BK173" s="537">
        <f t="shared" si="80"/>
        <v>7.9</v>
      </c>
      <c r="BL173" s="537">
        <f t="shared" si="81"/>
        <v>9.5</v>
      </c>
      <c r="BM173" s="537">
        <f t="shared" si="82"/>
        <v>5.6</v>
      </c>
      <c r="BN173" s="537">
        <f t="shared" si="83"/>
        <v>6.4</v>
      </c>
      <c r="BO173" s="537">
        <f t="shared" si="84"/>
        <v>16.5</v>
      </c>
      <c r="BP173" s="537">
        <f t="shared" si="65"/>
        <v>100</v>
      </c>
      <c r="BQ173" s="534" t="s">
        <v>1979</v>
      </c>
      <c r="BR173" s="556">
        <v>8.8539999999999994E-2</v>
      </c>
      <c r="BS173" s="556">
        <v>8.8539999999999994E-2</v>
      </c>
      <c r="BT173" s="556">
        <v>1.719E-2</v>
      </c>
      <c r="BU173" s="556">
        <v>7.3859999999999995E-2</v>
      </c>
      <c r="BV173" s="556">
        <v>4.929E-2</v>
      </c>
      <c r="BW173" s="557" t="s">
        <v>2275</v>
      </c>
      <c r="BX173" s="534" t="s">
        <v>2276</v>
      </c>
      <c r="DH173" s="539" t="str">
        <f t="shared" si="85"/>
        <v>Sri Lanka</v>
      </c>
      <c r="DI173" s="539" t="str">
        <f t="shared" si="86"/>
        <v>Asia</v>
      </c>
      <c r="DJ173" s="539" t="str">
        <f t="shared" si="87"/>
        <v>South-Central Asia</v>
      </c>
      <c r="DK173" s="539" t="s">
        <v>2685</v>
      </c>
      <c r="DL173" s="539" t="e">
        <f>VLOOKUP(DK173,#REF!,2,FALSE)</f>
        <v>#REF!</v>
      </c>
    </row>
    <row r="174" spans="49:119" ht="25.5">
      <c r="AW174" s="1395" t="s">
        <v>2744</v>
      </c>
      <c r="AX174" s="1395" t="s">
        <v>1976</v>
      </c>
      <c r="AY174" s="1396" t="s">
        <v>2007</v>
      </c>
      <c r="AZ174" s="1395">
        <v>691</v>
      </c>
      <c r="BA174" s="527" t="s">
        <v>1977</v>
      </c>
      <c r="BB174" s="535">
        <v>5.4123414965002699</v>
      </c>
      <c r="BC174" s="534" t="s">
        <v>2049</v>
      </c>
      <c r="BD174" s="536"/>
      <c r="BE174" s="536"/>
      <c r="BF174" s="534"/>
      <c r="BG174" s="536"/>
      <c r="BH174" s="537">
        <f t="shared" si="77"/>
        <v>11.3</v>
      </c>
      <c r="BI174" s="537">
        <f t="shared" si="78"/>
        <v>2.5</v>
      </c>
      <c r="BJ174" s="537">
        <f t="shared" si="79"/>
        <v>40.299999999999997</v>
      </c>
      <c r="BK174" s="537">
        <f t="shared" si="80"/>
        <v>7.9</v>
      </c>
      <c r="BL174" s="537">
        <f t="shared" si="81"/>
        <v>9.5</v>
      </c>
      <c r="BM174" s="537">
        <f t="shared" si="82"/>
        <v>5.6</v>
      </c>
      <c r="BN174" s="537">
        <f t="shared" si="83"/>
        <v>6.4</v>
      </c>
      <c r="BO174" s="537">
        <f t="shared" si="84"/>
        <v>16.5</v>
      </c>
      <c r="BP174" s="537">
        <f t="shared" si="65"/>
        <v>100</v>
      </c>
      <c r="BQ174" s="534" t="s">
        <v>1979</v>
      </c>
      <c r="BR174" s="556">
        <v>8.8539999999999994E-2</v>
      </c>
      <c r="BS174" s="556">
        <v>8.8539999999999994E-2</v>
      </c>
      <c r="BT174" s="556">
        <v>1.719E-2</v>
      </c>
      <c r="BU174" s="556">
        <v>7.3859999999999995E-2</v>
      </c>
      <c r="BV174" s="556">
        <v>4.929E-2</v>
      </c>
      <c r="BW174" s="557" t="s">
        <v>2275</v>
      </c>
      <c r="BX174" s="534" t="s">
        <v>2276</v>
      </c>
      <c r="DH174" s="539" t="str">
        <f t="shared" si="85"/>
        <v>Tajikistan</v>
      </c>
      <c r="DI174" s="539" t="str">
        <f t="shared" si="86"/>
        <v>Asia</v>
      </c>
      <c r="DJ174" s="539" t="str">
        <f t="shared" si="87"/>
        <v>South-Central Asia</v>
      </c>
      <c r="DL174" s="539" t="s">
        <v>35</v>
      </c>
    </row>
    <row r="175" spans="49:119">
      <c r="AW175" s="1395" t="s">
        <v>2755</v>
      </c>
      <c r="AX175" s="1395" t="s">
        <v>1976</v>
      </c>
      <c r="AY175" s="1396" t="s">
        <v>2007</v>
      </c>
      <c r="AZ175" s="1395">
        <v>506</v>
      </c>
      <c r="BA175" s="527" t="s">
        <v>1977</v>
      </c>
      <c r="BB175" s="535">
        <v>6.5440753936329159</v>
      </c>
      <c r="BC175" s="534" t="s">
        <v>2006</v>
      </c>
      <c r="BD175" s="536"/>
      <c r="BE175" s="536"/>
      <c r="BF175" s="534"/>
      <c r="BG175" s="536"/>
      <c r="BH175" s="537">
        <f t="shared" si="77"/>
        <v>11.3</v>
      </c>
      <c r="BI175" s="537">
        <f t="shared" si="78"/>
        <v>2.5</v>
      </c>
      <c r="BJ175" s="537">
        <f t="shared" si="79"/>
        <v>40.299999999999997</v>
      </c>
      <c r="BK175" s="537">
        <f t="shared" si="80"/>
        <v>7.9</v>
      </c>
      <c r="BL175" s="537">
        <f t="shared" si="81"/>
        <v>9.5</v>
      </c>
      <c r="BM175" s="537">
        <f t="shared" si="82"/>
        <v>5.6</v>
      </c>
      <c r="BN175" s="537">
        <f t="shared" si="83"/>
        <v>6.4</v>
      </c>
      <c r="BO175" s="537">
        <f t="shared" si="84"/>
        <v>16.5</v>
      </c>
      <c r="BP175" s="537">
        <f t="shared" si="65"/>
        <v>100</v>
      </c>
      <c r="BQ175" s="534" t="s">
        <v>1979</v>
      </c>
      <c r="BR175" s="556">
        <v>8.8539999999999994E-2</v>
      </c>
      <c r="BS175" s="556">
        <v>8.8539999999999994E-2</v>
      </c>
      <c r="BT175" s="556">
        <v>1.719E-2</v>
      </c>
      <c r="BU175" s="556">
        <v>7.3859999999999995E-2</v>
      </c>
      <c r="BV175" s="556">
        <v>4.929E-2</v>
      </c>
      <c r="BW175" s="557" t="s">
        <v>2275</v>
      </c>
      <c r="BX175" s="534" t="s">
        <v>2276</v>
      </c>
      <c r="DH175" s="539" t="str">
        <f t="shared" si="85"/>
        <v>Turkmenistan</v>
      </c>
      <c r="DI175" s="539" t="str">
        <f t="shared" si="86"/>
        <v>Asia</v>
      </c>
      <c r="DJ175" s="539" t="str">
        <f t="shared" si="87"/>
        <v>South-Central Asia</v>
      </c>
      <c r="DL175" s="539" t="s">
        <v>35</v>
      </c>
    </row>
    <row r="176" spans="49:119">
      <c r="AW176" s="1395" t="s">
        <v>2267</v>
      </c>
      <c r="AX176" s="1395" t="s">
        <v>1976</v>
      </c>
      <c r="AY176" s="1396" t="s">
        <v>2033</v>
      </c>
      <c r="AZ176" s="1395">
        <v>580</v>
      </c>
      <c r="BA176" s="527" t="s">
        <v>1977</v>
      </c>
      <c r="BB176" s="535">
        <v>20.827710301394511</v>
      </c>
      <c r="BC176" s="534" t="s">
        <v>2006</v>
      </c>
      <c r="BD176" s="536"/>
      <c r="BE176" s="536"/>
      <c r="BF176" s="534"/>
      <c r="BG176" s="536"/>
      <c r="BH176" s="537">
        <f t="shared" si="77"/>
        <v>12.9</v>
      </c>
      <c r="BI176" s="537">
        <f t="shared" si="78"/>
        <v>2.7</v>
      </c>
      <c r="BJ176" s="537">
        <f t="shared" si="79"/>
        <v>43.5</v>
      </c>
      <c r="BK176" s="537">
        <f t="shared" si="80"/>
        <v>9.9</v>
      </c>
      <c r="BL176" s="537">
        <f t="shared" si="81"/>
        <v>9.5</v>
      </c>
      <c r="BM176" s="537">
        <f t="shared" si="82"/>
        <v>5.6</v>
      </c>
      <c r="BN176" s="537">
        <f t="shared" si="83"/>
        <v>7.2</v>
      </c>
      <c r="BO176" s="537">
        <f t="shared" si="84"/>
        <v>8.7000000000000028</v>
      </c>
      <c r="BP176" s="537">
        <f t="shared" si="65"/>
        <v>100</v>
      </c>
      <c r="BQ176" s="534" t="s">
        <v>1979</v>
      </c>
      <c r="BR176" s="556">
        <v>8.8539999999999994E-2</v>
      </c>
      <c r="BS176" s="556">
        <v>8.8539999999999994E-2</v>
      </c>
      <c r="BT176" s="556">
        <v>1.719E-2</v>
      </c>
      <c r="BU176" s="556">
        <v>7.3859999999999995E-2</v>
      </c>
      <c r="BV176" s="556">
        <v>4.929E-2</v>
      </c>
      <c r="BW176" s="557" t="s">
        <v>2275</v>
      </c>
      <c r="BX176" s="534" t="s">
        <v>2276</v>
      </c>
      <c r="DH176" s="539" t="str">
        <f t="shared" si="85"/>
        <v>Uzbekistan</v>
      </c>
      <c r="DI176" s="539" t="str">
        <f t="shared" si="86"/>
        <v>Asia</v>
      </c>
      <c r="DJ176" s="539" t="str">
        <f t="shared" si="87"/>
        <v>South-Central Asia</v>
      </c>
      <c r="DL176" s="539" t="s">
        <v>35</v>
      </c>
    </row>
    <row r="177" spans="49:116">
      <c r="AW177" s="1395" t="s">
        <v>50</v>
      </c>
      <c r="AX177" s="1395" t="s">
        <v>1976</v>
      </c>
      <c r="AY177" s="1396" t="s">
        <v>2033</v>
      </c>
      <c r="AZ177" s="1395">
        <v>761</v>
      </c>
      <c r="BA177" s="527" t="s">
        <v>2538</v>
      </c>
      <c r="BB177" s="535">
        <v>41.760722347629795</v>
      </c>
      <c r="BC177" s="534" t="s">
        <v>2006</v>
      </c>
      <c r="BD177" s="536"/>
      <c r="BE177" s="536"/>
      <c r="BF177" s="534"/>
      <c r="BG177" s="536"/>
      <c r="BH177" s="537">
        <f t="shared" si="77"/>
        <v>12.9</v>
      </c>
      <c r="BI177" s="537">
        <f t="shared" si="78"/>
        <v>2.7</v>
      </c>
      <c r="BJ177" s="537">
        <f t="shared" si="79"/>
        <v>43.5</v>
      </c>
      <c r="BK177" s="537">
        <f t="shared" si="80"/>
        <v>9.9</v>
      </c>
      <c r="BL177" s="537">
        <f t="shared" si="81"/>
        <v>9.5</v>
      </c>
      <c r="BM177" s="537">
        <f t="shared" si="82"/>
        <v>5.6</v>
      </c>
      <c r="BN177" s="537">
        <f t="shared" si="83"/>
        <v>7.2</v>
      </c>
      <c r="BO177" s="537">
        <f t="shared" si="84"/>
        <v>8.7000000000000028</v>
      </c>
      <c r="BP177" s="537">
        <f t="shared" si="65"/>
        <v>100</v>
      </c>
      <c r="BQ177" s="534" t="s">
        <v>1979</v>
      </c>
      <c r="BR177" s="556">
        <v>8.8539999999999994E-2</v>
      </c>
      <c r="BS177" s="556">
        <v>8.8539999999999994E-2</v>
      </c>
      <c r="BT177" s="556">
        <v>1.719E-2</v>
      </c>
      <c r="BU177" s="556">
        <v>7.3859999999999995E-2</v>
      </c>
      <c r="BV177" s="556">
        <v>4.929E-2</v>
      </c>
      <c r="BW177" s="557" t="s">
        <v>2275</v>
      </c>
      <c r="BX177" s="534" t="s">
        <v>2276</v>
      </c>
      <c r="DH177" s="539" t="str">
        <f t="shared" si="85"/>
        <v>Cambodia</v>
      </c>
      <c r="DI177" s="539" t="str">
        <f t="shared" si="86"/>
        <v>Asia</v>
      </c>
      <c r="DJ177" s="539" t="str">
        <f t="shared" si="87"/>
        <v>South-Eastern Asia</v>
      </c>
      <c r="DL177" s="539" t="s">
        <v>35</v>
      </c>
    </row>
    <row r="178" spans="49:116">
      <c r="AW178" s="1395" t="s">
        <v>2601</v>
      </c>
      <c r="AX178" s="1395" t="s">
        <v>1976</v>
      </c>
      <c r="AY178" s="1396" t="s">
        <v>2033</v>
      </c>
      <c r="AZ178" s="1395">
        <v>366</v>
      </c>
      <c r="BA178" s="527" t="s">
        <v>1977</v>
      </c>
      <c r="BB178" s="535">
        <v>16.107272128989798</v>
      </c>
      <c r="BC178" s="534" t="s">
        <v>2006</v>
      </c>
      <c r="BD178" s="536"/>
      <c r="BE178" s="536"/>
      <c r="BF178" s="534"/>
      <c r="BG178" s="536"/>
      <c r="BH178" s="537">
        <f t="shared" si="77"/>
        <v>12.9</v>
      </c>
      <c r="BI178" s="537">
        <f t="shared" si="78"/>
        <v>2.7</v>
      </c>
      <c r="BJ178" s="537">
        <f t="shared" si="79"/>
        <v>43.5</v>
      </c>
      <c r="BK178" s="537">
        <f t="shared" si="80"/>
        <v>9.9</v>
      </c>
      <c r="BL178" s="537">
        <f t="shared" si="81"/>
        <v>9.5</v>
      </c>
      <c r="BM178" s="537">
        <f t="shared" si="82"/>
        <v>5.6</v>
      </c>
      <c r="BN178" s="537">
        <f t="shared" si="83"/>
        <v>7.2</v>
      </c>
      <c r="BO178" s="537">
        <f t="shared" si="84"/>
        <v>8.7000000000000028</v>
      </c>
      <c r="BP178" s="537">
        <f t="shared" si="65"/>
        <v>100</v>
      </c>
      <c r="BQ178" s="534" t="s">
        <v>1979</v>
      </c>
      <c r="BR178" s="556">
        <v>8.8539999999999994E-2</v>
      </c>
      <c r="BS178" s="556">
        <v>8.8539999999999994E-2</v>
      </c>
      <c r="BT178" s="556">
        <v>1.719E-2</v>
      </c>
      <c r="BU178" s="556">
        <v>7.3859999999999995E-2</v>
      </c>
      <c r="BV178" s="556">
        <v>4.929E-2</v>
      </c>
      <c r="BW178" s="557" t="s">
        <v>2275</v>
      </c>
      <c r="BX178" s="534" t="s">
        <v>2276</v>
      </c>
      <c r="DH178" s="539" t="str">
        <f t="shared" si="85"/>
        <v>Indonesia</v>
      </c>
      <c r="DI178" s="539" t="str">
        <f t="shared" si="86"/>
        <v>Asia</v>
      </c>
      <c r="DJ178" s="539" t="str">
        <f t="shared" si="87"/>
        <v>South-Eastern Asia</v>
      </c>
      <c r="DL178" s="539" t="s">
        <v>35</v>
      </c>
    </row>
    <row r="179" spans="49:116" ht="25.5">
      <c r="AW179" s="1395" t="s">
        <v>54</v>
      </c>
      <c r="AX179" s="1395" t="s">
        <v>1976</v>
      </c>
      <c r="AY179" s="1396" t="s">
        <v>2033</v>
      </c>
      <c r="AZ179" s="1395">
        <v>470</v>
      </c>
      <c r="BA179" s="527" t="s">
        <v>1977</v>
      </c>
      <c r="BB179" s="535">
        <v>5.4123414965002699</v>
      </c>
      <c r="BC179" s="534" t="s">
        <v>2049</v>
      </c>
      <c r="BD179" s="536"/>
      <c r="BE179" s="536"/>
      <c r="BF179" s="534"/>
      <c r="BG179" s="536"/>
      <c r="BH179" s="537">
        <f t="shared" si="77"/>
        <v>12.9</v>
      </c>
      <c r="BI179" s="537">
        <f t="shared" si="78"/>
        <v>2.7</v>
      </c>
      <c r="BJ179" s="537">
        <f t="shared" si="79"/>
        <v>43.5</v>
      </c>
      <c r="BK179" s="537">
        <f t="shared" si="80"/>
        <v>9.9</v>
      </c>
      <c r="BL179" s="537">
        <f t="shared" si="81"/>
        <v>9.5</v>
      </c>
      <c r="BM179" s="537">
        <f t="shared" si="82"/>
        <v>5.6</v>
      </c>
      <c r="BN179" s="537">
        <f t="shared" si="83"/>
        <v>7.2</v>
      </c>
      <c r="BO179" s="537">
        <f t="shared" si="84"/>
        <v>8.7000000000000028</v>
      </c>
      <c r="BP179" s="537">
        <f t="shared" si="65"/>
        <v>100</v>
      </c>
      <c r="BQ179" s="534" t="s">
        <v>1979</v>
      </c>
      <c r="BR179" s="556">
        <v>8.8539999999999994E-2</v>
      </c>
      <c r="BS179" s="556">
        <v>8.8539999999999994E-2</v>
      </c>
      <c r="BT179" s="556">
        <v>1.719E-2</v>
      </c>
      <c r="BU179" s="556">
        <v>7.3859999999999995E-2</v>
      </c>
      <c r="BV179" s="556">
        <v>4.929E-2</v>
      </c>
      <c r="BW179" s="557" t="s">
        <v>2275</v>
      </c>
      <c r="BX179" s="534" t="s">
        <v>2276</v>
      </c>
      <c r="DH179" s="539" t="str">
        <f t="shared" si="85"/>
        <v>Laos</v>
      </c>
      <c r="DI179" s="539" t="str">
        <f t="shared" si="86"/>
        <v>Asia</v>
      </c>
      <c r="DJ179" s="539" t="str">
        <f t="shared" si="87"/>
        <v>South-Eastern Asia</v>
      </c>
      <c r="DL179" s="539" t="s">
        <v>35</v>
      </c>
    </row>
    <row r="180" spans="49:116" ht="25.5">
      <c r="AW180" s="1395" t="s">
        <v>2681</v>
      </c>
      <c r="AX180" s="1395" t="s">
        <v>1976</v>
      </c>
      <c r="AY180" s="1396" t="s">
        <v>2033</v>
      </c>
      <c r="AZ180" s="1395">
        <v>367</v>
      </c>
      <c r="BA180" s="527" t="s">
        <v>1977</v>
      </c>
      <c r="BB180" s="535">
        <v>5.4123414965002699</v>
      </c>
      <c r="BC180" s="534" t="s">
        <v>2049</v>
      </c>
      <c r="BD180" s="536"/>
      <c r="BE180" s="536"/>
      <c r="BF180" s="534"/>
      <c r="BG180" s="536"/>
      <c r="BH180" s="537">
        <f t="shared" si="77"/>
        <v>12.9</v>
      </c>
      <c r="BI180" s="537">
        <f t="shared" si="78"/>
        <v>2.7</v>
      </c>
      <c r="BJ180" s="537">
        <f t="shared" si="79"/>
        <v>43.5</v>
      </c>
      <c r="BK180" s="537">
        <f t="shared" si="80"/>
        <v>9.9</v>
      </c>
      <c r="BL180" s="537">
        <f t="shared" si="81"/>
        <v>9.5</v>
      </c>
      <c r="BM180" s="537">
        <f t="shared" si="82"/>
        <v>5.6</v>
      </c>
      <c r="BN180" s="537">
        <f t="shared" si="83"/>
        <v>7.2</v>
      </c>
      <c r="BO180" s="537">
        <f t="shared" si="84"/>
        <v>8.7000000000000028</v>
      </c>
      <c r="BP180" s="537">
        <f t="shared" si="65"/>
        <v>100</v>
      </c>
      <c r="BQ180" s="534" t="s">
        <v>1979</v>
      </c>
      <c r="BR180" s="556">
        <v>8.8539999999999994E-2</v>
      </c>
      <c r="BS180" s="556">
        <v>8.8539999999999994E-2</v>
      </c>
      <c r="BT180" s="556">
        <v>1.719E-2</v>
      </c>
      <c r="BU180" s="556">
        <v>7.3859999999999995E-2</v>
      </c>
      <c r="BV180" s="556">
        <v>4.929E-2</v>
      </c>
      <c r="BW180" s="557" t="s">
        <v>2275</v>
      </c>
      <c r="BX180" s="534" t="s">
        <v>2276</v>
      </c>
      <c r="DH180" s="539" t="str">
        <f t="shared" si="85"/>
        <v>Malaysia</v>
      </c>
      <c r="DI180" s="539" t="str">
        <f t="shared" si="86"/>
        <v>Asia</v>
      </c>
      <c r="DJ180" s="539" t="str">
        <f t="shared" si="87"/>
        <v>South-Eastern Asia</v>
      </c>
      <c r="DL180" s="539" t="s">
        <v>35</v>
      </c>
    </row>
    <row r="181" spans="49:116">
      <c r="AW181" s="1395" t="s">
        <v>58</v>
      </c>
      <c r="AX181" s="1395" t="s">
        <v>1976</v>
      </c>
      <c r="AY181" s="1396" t="s">
        <v>2033</v>
      </c>
      <c r="AZ181" s="1395">
        <v>381</v>
      </c>
      <c r="BA181" s="527" t="s">
        <v>1977</v>
      </c>
      <c r="BB181" s="535">
        <v>6.0796170676787558</v>
      </c>
      <c r="BC181" s="534" t="s">
        <v>2006</v>
      </c>
      <c r="BD181" s="548">
        <v>0.04</v>
      </c>
      <c r="BE181" s="548">
        <v>0</v>
      </c>
      <c r="BF181" s="534" t="s">
        <v>2179</v>
      </c>
      <c r="BG181" s="536"/>
      <c r="BH181" s="537">
        <f t="shared" si="77"/>
        <v>12.9</v>
      </c>
      <c r="BI181" s="537">
        <f t="shared" si="78"/>
        <v>2.7</v>
      </c>
      <c r="BJ181" s="537">
        <f t="shared" si="79"/>
        <v>43.5</v>
      </c>
      <c r="BK181" s="537">
        <f t="shared" si="80"/>
        <v>9.9</v>
      </c>
      <c r="BL181" s="537">
        <f t="shared" si="81"/>
        <v>9.5</v>
      </c>
      <c r="BM181" s="537">
        <f t="shared" si="82"/>
        <v>5.6</v>
      </c>
      <c r="BN181" s="537">
        <f t="shared" si="83"/>
        <v>7.2</v>
      </c>
      <c r="BO181" s="537">
        <f t="shared" si="84"/>
        <v>8.7000000000000028</v>
      </c>
      <c r="BP181" s="537">
        <f t="shared" si="65"/>
        <v>100</v>
      </c>
      <c r="BQ181" s="534" t="s">
        <v>1979</v>
      </c>
      <c r="BR181" s="556">
        <v>8.8539999999999994E-2</v>
      </c>
      <c r="BS181" s="556">
        <v>8.8539999999999994E-2</v>
      </c>
      <c r="BT181" s="556">
        <v>1.719E-2</v>
      </c>
      <c r="BU181" s="556">
        <v>7.3859999999999995E-2</v>
      </c>
      <c r="BV181" s="556">
        <v>4.929E-2</v>
      </c>
      <c r="BW181" s="557" t="s">
        <v>2275</v>
      </c>
      <c r="BX181" s="534" t="s">
        <v>2276</v>
      </c>
      <c r="DH181" s="539" t="str">
        <f t="shared" si="85"/>
        <v>Myanmar</v>
      </c>
      <c r="DI181" s="539" t="str">
        <f t="shared" si="86"/>
        <v>Asia</v>
      </c>
      <c r="DJ181" s="539" t="str">
        <f t="shared" si="87"/>
        <v>South-Eastern Asia</v>
      </c>
      <c r="DL181" s="539" t="s">
        <v>35</v>
      </c>
    </row>
    <row r="182" spans="49:116">
      <c r="AW182" s="1395" t="s">
        <v>59</v>
      </c>
      <c r="AX182" s="1395" t="s">
        <v>1976</v>
      </c>
      <c r="AY182" s="1396" t="s">
        <v>2033</v>
      </c>
      <c r="AZ182" s="1395">
        <v>489</v>
      </c>
      <c r="BA182" s="527" t="s">
        <v>1977</v>
      </c>
      <c r="BB182" s="535">
        <v>10.882999176050536</v>
      </c>
      <c r="BC182" s="534" t="s">
        <v>2006</v>
      </c>
      <c r="BD182" s="536"/>
      <c r="BE182" s="536"/>
      <c r="BF182" s="534"/>
      <c r="BG182" s="536"/>
      <c r="BH182" s="537">
        <f t="shared" si="77"/>
        <v>12.9</v>
      </c>
      <c r="BI182" s="537">
        <f t="shared" si="78"/>
        <v>2.7</v>
      </c>
      <c r="BJ182" s="537">
        <f t="shared" si="79"/>
        <v>43.5</v>
      </c>
      <c r="BK182" s="537">
        <f t="shared" si="80"/>
        <v>9.9</v>
      </c>
      <c r="BL182" s="537">
        <f t="shared" si="81"/>
        <v>9.5</v>
      </c>
      <c r="BM182" s="537">
        <f t="shared" si="82"/>
        <v>5.6</v>
      </c>
      <c r="BN182" s="537">
        <f t="shared" si="83"/>
        <v>7.2</v>
      </c>
      <c r="BO182" s="537">
        <f t="shared" si="84"/>
        <v>8.7000000000000028</v>
      </c>
      <c r="BP182" s="537">
        <f t="shared" si="65"/>
        <v>100</v>
      </c>
      <c r="BQ182" s="534" t="s">
        <v>1979</v>
      </c>
      <c r="BR182" s="556">
        <v>8.8539999999999994E-2</v>
      </c>
      <c r="BS182" s="556">
        <v>8.8539999999999994E-2</v>
      </c>
      <c r="BT182" s="556">
        <v>1.719E-2</v>
      </c>
      <c r="BU182" s="556">
        <v>7.3859999999999995E-2</v>
      </c>
      <c r="BV182" s="556">
        <v>4.929E-2</v>
      </c>
      <c r="BW182" s="557" t="s">
        <v>2275</v>
      </c>
      <c r="BX182" s="534" t="s">
        <v>2276</v>
      </c>
      <c r="DH182" s="539" t="str">
        <f t="shared" si="85"/>
        <v>Oman</v>
      </c>
      <c r="DI182" s="539" t="str">
        <f t="shared" si="86"/>
        <v>Asia</v>
      </c>
      <c r="DJ182" s="539" t="str">
        <f t="shared" si="87"/>
        <v>South-Eastern Asia</v>
      </c>
      <c r="DK182" s="539" t="e">
        <f>VLOOKUP(DH182,#REF!,1)</f>
        <v>#REF!</v>
      </c>
      <c r="DL182" s="539" t="e">
        <f>VLOOKUP(DK182,#REF!,2,FALSE)</f>
        <v>#REF!</v>
      </c>
    </row>
    <row r="183" spans="49:116">
      <c r="AW183" s="1395" t="s">
        <v>61</v>
      </c>
      <c r="AX183" s="1395" t="s">
        <v>1976</v>
      </c>
      <c r="AY183" s="1396" t="s">
        <v>2033</v>
      </c>
      <c r="AZ183" s="1395">
        <v>276</v>
      </c>
      <c r="BA183" s="527" t="s">
        <v>1977</v>
      </c>
      <c r="BB183" s="535">
        <v>17.135566605600626</v>
      </c>
      <c r="BC183" s="534" t="s">
        <v>2006</v>
      </c>
      <c r="BD183" s="536"/>
      <c r="BE183" s="536"/>
      <c r="BF183" s="534"/>
      <c r="BG183" s="536"/>
      <c r="BH183" s="537">
        <f t="shared" si="77"/>
        <v>12.9</v>
      </c>
      <c r="BI183" s="537">
        <f t="shared" si="78"/>
        <v>2.7</v>
      </c>
      <c r="BJ183" s="537">
        <f t="shared" si="79"/>
        <v>43.5</v>
      </c>
      <c r="BK183" s="537">
        <f t="shared" si="80"/>
        <v>9.9</v>
      </c>
      <c r="BL183" s="537">
        <f t="shared" si="81"/>
        <v>9.5</v>
      </c>
      <c r="BM183" s="537">
        <f t="shared" si="82"/>
        <v>5.6</v>
      </c>
      <c r="BN183" s="537">
        <f t="shared" si="83"/>
        <v>7.2</v>
      </c>
      <c r="BO183" s="537">
        <f t="shared" si="84"/>
        <v>8.7000000000000028</v>
      </c>
      <c r="BP183" s="537">
        <f t="shared" si="65"/>
        <v>100</v>
      </c>
      <c r="BQ183" s="534" t="s">
        <v>1979</v>
      </c>
      <c r="BR183" s="556">
        <v>8.8539999999999994E-2</v>
      </c>
      <c r="BS183" s="556">
        <v>8.8539999999999994E-2</v>
      </c>
      <c r="BT183" s="556">
        <v>1.719E-2</v>
      </c>
      <c r="BU183" s="556">
        <v>7.3859999999999995E-2</v>
      </c>
      <c r="BV183" s="556">
        <v>4.929E-2</v>
      </c>
      <c r="BW183" s="557" t="s">
        <v>2275</v>
      </c>
      <c r="BX183" s="534" t="s">
        <v>2276</v>
      </c>
      <c r="DH183" s="539" t="str">
        <f t="shared" si="85"/>
        <v>Philippines</v>
      </c>
      <c r="DI183" s="539" t="str">
        <f t="shared" si="86"/>
        <v>Asia</v>
      </c>
      <c r="DJ183" s="539" t="str">
        <f t="shared" si="87"/>
        <v>South-Eastern Asia</v>
      </c>
      <c r="DL183" s="539" t="s">
        <v>35</v>
      </c>
    </row>
    <row r="184" spans="49:116" ht="25.5">
      <c r="AW184" s="1395" t="s">
        <v>63</v>
      </c>
      <c r="AX184" s="1395" t="s">
        <v>1976</v>
      </c>
      <c r="AY184" s="1396" t="s">
        <v>2033</v>
      </c>
      <c r="AZ184" s="1395">
        <v>732</v>
      </c>
      <c r="BA184" s="527" t="s">
        <v>2717</v>
      </c>
      <c r="BB184" s="535">
        <v>5.4123414965002699</v>
      </c>
      <c r="BC184" s="534" t="s">
        <v>2049</v>
      </c>
      <c r="BD184" s="536"/>
      <c r="BE184" s="536"/>
      <c r="BF184" s="534"/>
      <c r="BG184" s="536"/>
      <c r="BH184" s="537">
        <f t="shared" si="77"/>
        <v>12.9</v>
      </c>
      <c r="BI184" s="537">
        <f t="shared" si="78"/>
        <v>2.7</v>
      </c>
      <c r="BJ184" s="537">
        <f t="shared" si="79"/>
        <v>43.5</v>
      </c>
      <c r="BK184" s="537">
        <f t="shared" si="80"/>
        <v>9.9</v>
      </c>
      <c r="BL184" s="537">
        <f t="shared" si="81"/>
        <v>9.5</v>
      </c>
      <c r="BM184" s="537">
        <f t="shared" si="82"/>
        <v>5.6</v>
      </c>
      <c r="BN184" s="537">
        <f t="shared" si="83"/>
        <v>7.2</v>
      </c>
      <c r="BO184" s="537">
        <f t="shared" si="84"/>
        <v>8.7000000000000028</v>
      </c>
      <c r="BP184" s="537">
        <f t="shared" si="65"/>
        <v>100</v>
      </c>
      <c r="BQ184" s="534" t="s">
        <v>1979</v>
      </c>
      <c r="BR184" s="556">
        <v>8.8539999999999994E-2</v>
      </c>
      <c r="BS184" s="556">
        <v>8.8539999999999994E-2</v>
      </c>
      <c r="BT184" s="556">
        <v>1.719E-2</v>
      </c>
      <c r="BU184" s="556">
        <v>7.3859999999999995E-2</v>
      </c>
      <c r="BV184" s="556">
        <v>4.929E-2</v>
      </c>
      <c r="BW184" s="557" t="s">
        <v>2275</v>
      </c>
      <c r="BX184" s="534" t="s">
        <v>2276</v>
      </c>
      <c r="DH184" s="539" t="str">
        <f t="shared" si="85"/>
        <v>Qatar</v>
      </c>
      <c r="DI184" s="539" t="str">
        <f t="shared" si="86"/>
        <v>Asia</v>
      </c>
      <c r="DJ184" s="539" t="str">
        <f t="shared" si="87"/>
        <v>South-Eastern Asia</v>
      </c>
      <c r="DL184" s="539" t="s">
        <v>35</v>
      </c>
    </row>
    <row r="185" spans="49:116">
      <c r="AW185" s="1395" t="s">
        <v>64</v>
      </c>
      <c r="AX185" s="1395" t="s">
        <v>1976</v>
      </c>
      <c r="AY185" s="1396" t="s">
        <v>2033</v>
      </c>
      <c r="AZ185" s="1395">
        <v>249</v>
      </c>
      <c r="BA185" s="527" t="s">
        <v>1977</v>
      </c>
      <c r="BB185" s="535">
        <v>14.299558522666093</v>
      </c>
      <c r="BC185" s="534" t="s">
        <v>2006</v>
      </c>
      <c r="BD185" s="536"/>
      <c r="BE185" s="536"/>
      <c r="BF185" s="534"/>
      <c r="BG185" s="536"/>
      <c r="BH185" s="537">
        <f t="shared" si="77"/>
        <v>12.9</v>
      </c>
      <c r="BI185" s="537">
        <f t="shared" si="78"/>
        <v>2.7</v>
      </c>
      <c r="BJ185" s="537">
        <f t="shared" si="79"/>
        <v>43.5</v>
      </c>
      <c r="BK185" s="537">
        <f t="shared" si="80"/>
        <v>9.9</v>
      </c>
      <c r="BL185" s="537">
        <f t="shared" si="81"/>
        <v>9.5</v>
      </c>
      <c r="BM185" s="537">
        <f t="shared" si="82"/>
        <v>5.6</v>
      </c>
      <c r="BN185" s="537">
        <f t="shared" si="83"/>
        <v>7.2</v>
      </c>
      <c r="BO185" s="537">
        <f t="shared" si="84"/>
        <v>8.7000000000000028</v>
      </c>
      <c r="BP185" s="537">
        <f t="shared" si="65"/>
        <v>100</v>
      </c>
      <c r="BQ185" s="534" t="s">
        <v>1979</v>
      </c>
      <c r="BR185" s="556">
        <v>8.8539999999999994E-2</v>
      </c>
      <c r="BS185" s="556">
        <v>8.8539999999999994E-2</v>
      </c>
      <c r="BT185" s="556">
        <v>1.719E-2</v>
      </c>
      <c r="BU185" s="556">
        <v>7.3859999999999995E-2</v>
      </c>
      <c r="BV185" s="556">
        <v>4.929E-2</v>
      </c>
      <c r="BW185" s="557" t="s">
        <v>2275</v>
      </c>
      <c r="BX185" s="534" t="s">
        <v>2276</v>
      </c>
      <c r="DH185" s="539" t="str">
        <f t="shared" si="85"/>
        <v>Saudi Arabia</v>
      </c>
      <c r="DI185" s="539" t="str">
        <f t="shared" si="86"/>
        <v>Asia</v>
      </c>
      <c r="DJ185" s="539" t="str">
        <f t="shared" si="87"/>
        <v>South-Eastern Asia</v>
      </c>
      <c r="DL185" s="539" t="s">
        <v>35</v>
      </c>
    </row>
    <row r="186" spans="49:116" ht="25.5">
      <c r="AW186" s="1395" t="s">
        <v>68</v>
      </c>
      <c r="AX186" s="1395" t="s">
        <v>1976</v>
      </c>
      <c r="AY186" s="1396" t="s">
        <v>2033</v>
      </c>
      <c r="AZ186" s="1395">
        <v>390</v>
      </c>
      <c r="BA186" s="527" t="s">
        <v>1977</v>
      </c>
      <c r="BB186" s="535">
        <v>5.4123414965002699</v>
      </c>
      <c r="BC186" s="534" t="s">
        <v>2049</v>
      </c>
      <c r="BD186" s="536"/>
      <c r="BE186" s="536"/>
      <c r="BF186" s="534"/>
      <c r="BG186" s="536"/>
      <c r="BH186" s="537">
        <f t="shared" si="77"/>
        <v>12.9</v>
      </c>
      <c r="BI186" s="537">
        <f t="shared" si="78"/>
        <v>2.7</v>
      </c>
      <c r="BJ186" s="537">
        <f t="shared" si="79"/>
        <v>43.5</v>
      </c>
      <c r="BK186" s="537">
        <f t="shared" si="80"/>
        <v>9.9</v>
      </c>
      <c r="BL186" s="537">
        <f t="shared" si="81"/>
        <v>9.5</v>
      </c>
      <c r="BM186" s="537">
        <f t="shared" si="82"/>
        <v>5.6</v>
      </c>
      <c r="BN186" s="537">
        <f t="shared" si="83"/>
        <v>7.2</v>
      </c>
      <c r="BO186" s="537">
        <f t="shared" si="84"/>
        <v>8.7000000000000028</v>
      </c>
      <c r="BP186" s="537">
        <f t="shared" si="65"/>
        <v>100</v>
      </c>
      <c r="BQ186" s="534" t="s">
        <v>1979</v>
      </c>
      <c r="BR186" s="556">
        <v>8.8539999999999994E-2</v>
      </c>
      <c r="BS186" s="556">
        <v>8.8539999999999994E-2</v>
      </c>
      <c r="BT186" s="556">
        <v>1.719E-2</v>
      </c>
      <c r="BU186" s="556">
        <v>7.3859999999999995E-2</v>
      </c>
      <c r="BV186" s="556">
        <v>4.929E-2</v>
      </c>
      <c r="BW186" s="557" t="s">
        <v>2275</v>
      </c>
      <c r="BX186" s="534" t="s">
        <v>2276</v>
      </c>
      <c r="DH186" s="539" t="str">
        <f t="shared" si="85"/>
        <v>Singapore</v>
      </c>
      <c r="DI186" s="539" t="str">
        <f t="shared" si="86"/>
        <v>Asia</v>
      </c>
      <c r="DJ186" s="539" t="str">
        <f t="shared" si="87"/>
        <v>South-Eastern Asia</v>
      </c>
      <c r="DL186" s="539" t="s">
        <v>35</v>
      </c>
    </row>
    <row r="187" spans="49:116">
      <c r="AW187" s="1395" t="s">
        <v>2738</v>
      </c>
      <c r="AX187" s="1395" t="s">
        <v>1976</v>
      </c>
      <c r="AY187" s="1396" t="s">
        <v>2033</v>
      </c>
      <c r="AZ187" s="1395">
        <v>630</v>
      </c>
      <c r="BA187" s="527" t="s">
        <v>1977</v>
      </c>
      <c r="BB187" s="535">
        <v>6.5789949712383775</v>
      </c>
      <c r="BC187" s="534" t="s">
        <v>2006</v>
      </c>
      <c r="BD187" s="548">
        <v>0.02</v>
      </c>
      <c r="BE187" s="548">
        <v>0.25</v>
      </c>
      <c r="BF187" s="534" t="s">
        <v>2179</v>
      </c>
      <c r="BG187" s="536"/>
      <c r="BH187" s="537">
        <f t="shared" si="77"/>
        <v>12.9</v>
      </c>
      <c r="BI187" s="537">
        <f t="shared" si="78"/>
        <v>2.7</v>
      </c>
      <c r="BJ187" s="537">
        <f t="shared" si="79"/>
        <v>43.5</v>
      </c>
      <c r="BK187" s="537">
        <f t="shared" si="80"/>
        <v>9.9</v>
      </c>
      <c r="BL187" s="537">
        <f t="shared" si="81"/>
        <v>9.5</v>
      </c>
      <c r="BM187" s="537">
        <f t="shared" si="82"/>
        <v>5.6</v>
      </c>
      <c r="BN187" s="537">
        <f t="shared" si="83"/>
        <v>7.2</v>
      </c>
      <c r="BO187" s="537">
        <f t="shared" si="84"/>
        <v>8.7000000000000028</v>
      </c>
      <c r="BP187" s="537">
        <f t="shared" si="65"/>
        <v>100</v>
      </c>
      <c r="BQ187" s="534" t="s">
        <v>1979</v>
      </c>
      <c r="BR187" s="556">
        <v>8.8539999999999994E-2</v>
      </c>
      <c r="BS187" s="556">
        <v>8.8539999999999994E-2</v>
      </c>
      <c r="BT187" s="556">
        <v>1.719E-2</v>
      </c>
      <c r="BU187" s="556">
        <v>7.3859999999999995E-2</v>
      </c>
      <c r="BV187" s="556">
        <v>4.929E-2</v>
      </c>
      <c r="BW187" s="557" t="s">
        <v>2275</v>
      </c>
      <c r="BX187" s="534" t="s">
        <v>2276</v>
      </c>
      <c r="DH187" s="539" t="str">
        <f t="shared" si="85"/>
        <v>Thailand</v>
      </c>
      <c r="DI187" s="539" t="str">
        <f t="shared" si="86"/>
        <v>Asia</v>
      </c>
      <c r="DJ187" s="539" t="str">
        <f t="shared" si="87"/>
        <v>South-Eastern Asia</v>
      </c>
      <c r="DL187" s="539" t="s">
        <v>35</v>
      </c>
    </row>
    <row r="188" spans="49:116">
      <c r="AW188" s="1395" t="s">
        <v>70</v>
      </c>
      <c r="AX188" s="1395" t="s">
        <v>1976</v>
      </c>
      <c r="AY188" s="1396" t="s">
        <v>2033</v>
      </c>
      <c r="AZ188" s="1395">
        <v>353</v>
      </c>
      <c r="BA188" s="527" t="s">
        <v>1977</v>
      </c>
      <c r="BB188" s="535">
        <v>10.969689017189346</v>
      </c>
      <c r="BC188" s="534" t="s">
        <v>2006</v>
      </c>
      <c r="BD188" s="548">
        <v>0.05</v>
      </c>
      <c r="BE188" s="548">
        <v>0.08</v>
      </c>
      <c r="BF188" s="534" t="s">
        <v>2179</v>
      </c>
      <c r="BG188" s="536"/>
      <c r="BH188" s="537">
        <f t="shared" si="77"/>
        <v>12.9</v>
      </c>
      <c r="BI188" s="537">
        <f t="shared" si="78"/>
        <v>2.7</v>
      </c>
      <c r="BJ188" s="537">
        <f t="shared" si="79"/>
        <v>43.5</v>
      </c>
      <c r="BK188" s="537">
        <f t="shared" si="80"/>
        <v>9.9</v>
      </c>
      <c r="BL188" s="537">
        <f t="shared" si="81"/>
        <v>9.5</v>
      </c>
      <c r="BM188" s="537">
        <f t="shared" si="82"/>
        <v>5.6</v>
      </c>
      <c r="BN188" s="537">
        <f t="shared" si="83"/>
        <v>7.2</v>
      </c>
      <c r="BO188" s="537">
        <f t="shared" si="84"/>
        <v>8.7000000000000028</v>
      </c>
      <c r="BP188" s="537">
        <f t="shared" si="65"/>
        <v>100</v>
      </c>
      <c r="BQ188" s="534" t="s">
        <v>1979</v>
      </c>
      <c r="BR188" s="556">
        <v>8.8539999999999994E-2</v>
      </c>
      <c r="BS188" s="556">
        <v>8.8539999999999994E-2</v>
      </c>
      <c r="BT188" s="556">
        <v>1.719E-2</v>
      </c>
      <c r="BU188" s="556">
        <v>7.3859999999999995E-2</v>
      </c>
      <c r="BV188" s="556">
        <v>4.929E-2</v>
      </c>
      <c r="BW188" s="557" t="s">
        <v>2275</v>
      </c>
      <c r="BX188" s="534" t="s">
        <v>2276</v>
      </c>
      <c r="DH188" s="539" t="str">
        <f t="shared" si="85"/>
        <v>Timor-Leste</v>
      </c>
      <c r="DI188" s="539" t="str">
        <f t="shared" si="86"/>
        <v>Asia</v>
      </c>
      <c r="DJ188" s="539" t="str">
        <f t="shared" si="87"/>
        <v>South-Eastern Asia</v>
      </c>
      <c r="DL188" s="539" t="s">
        <v>35</v>
      </c>
    </row>
    <row r="189" spans="49:116">
      <c r="AW189" s="1395" t="s">
        <v>71</v>
      </c>
      <c r="AX189" s="1395" t="s">
        <v>1976</v>
      </c>
      <c r="AY189" s="1396" t="s">
        <v>2033</v>
      </c>
      <c r="AZ189" s="1395">
        <v>356</v>
      </c>
      <c r="BA189" s="527" t="s">
        <v>1977</v>
      </c>
      <c r="BB189" s="535">
        <v>9.4095415598871366</v>
      </c>
      <c r="BC189" s="534" t="s">
        <v>2006</v>
      </c>
      <c r="BD189" s="536"/>
      <c r="BE189" s="536"/>
      <c r="BF189" s="534"/>
      <c r="BG189" s="536"/>
      <c r="BH189" s="537">
        <f t="shared" si="77"/>
        <v>12.9</v>
      </c>
      <c r="BI189" s="537">
        <f t="shared" si="78"/>
        <v>2.7</v>
      </c>
      <c r="BJ189" s="537">
        <f t="shared" si="79"/>
        <v>43.5</v>
      </c>
      <c r="BK189" s="537">
        <f t="shared" si="80"/>
        <v>9.9</v>
      </c>
      <c r="BL189" s="537">
        <f t="shared" si="81"/>
        <v>9.5</v>
      </c>
      <c r="BM189" s="537">
        <f t="shared" si="82"/>
        <v>5.6</v>
      </c>
      <c r="BN189" s="537">
        <f t="shared" si="83"/>
        <v>7.2</v>
      </c>
      <c r="BO189" s="537">
        <f t="shared" si="84"/>
        <v>8.7000000000000028</v>
      </c>
      <c r="BP189" s="537">
        <f t="shared" si="65"/>
        <v>100</v>
      </c>
      <c r="BQ189" s="534" t="s">
        <v>1979</v>
      </c>
      <c r="BR189" s="556">
        <v>8.8539999999999994E-2</v>
      </c>
      <c r="BS189" s="556">
        <v>8.8539999999999994E-2</v>
      </c>
      <c r="BT189" s="556">
        <v>1.719E-2</v>
      </c>
      <c r="BU189" s="556">
        <v>7.3859999999999995E-2</v>
      </c>
      <c r="BV189" s="556">
        <v>4.929E-2</v>
      </c>
      <c r="BW189" s="557" t="s">
        <v>2275</v>
      </c>
      <c r="BX189" s="534" t="s">
        <v>2276</v>
      </c>
      <c r="DH189" s="539" t="str">
        <f t="shared" si="85"/>
        <v>United Arab Emirates</v>
      </c>
      <c r="DI189" s="539" t="str">
        <f t="shared" si="86"/>
        <v>Asia</v>
      </c>
      <c r="DJ189" s="539" t="str">
        <f t="shared" si="87"/>
        <v>South-Eastern Asia</v>
      </c>
      <c r="DL189" s="539" t="s">
        <v>35</v>
      </c>
    </row>
    <row r="190" spans="49:116">
      <c r="AW190" s="1395" t="s">
        <v>2760</v>
      </c>
      <c r="AX190" s="1395" t="s">
        <v>1976</v>
      </c>
      <c r="AY190" s="1396" t="s">
        <v>2033</v>
      </c>
      <c r="AZ190" s="1395">
        <v>636</v>
      </c>
      <c r="BA190" s="527" t="s">
        <v>1977</v>
      </c>
      <c r="BB190" s="535">
        <v>6.4665505841976429</v>
      </c>
      <c r="BC190" s="534" t="s">
        <v>2006</v>
      </c>
      <c r="BD190" s="548">
        <v>0.08</v>
      </c>
      <c r="BE190" s="548">
        <v>0.08</v>
      </c>
      <c r="BF190" s="534" t="s">
        <v>2179</v>
      </c>
      <c r="BG190" s="536"/>
      <c r="BH190" s="537">
        <f t="shared" si="77"/>
        <v>12.9</v>
      </c>
      <c r="BI190" s="537">
        <f t="shared" si="78"/>
        <v>2.7</v>
      </c>
      <c r="BJ190" s="537">
        <f t="shared" si="79"/>
        <v>43.5</v>
      </c>
      <c r="BK190" s="537">
        <f t="shared" si="80"/>
        <v>9.9</v>
      </c>
      <c r="BL190" s="537">
        <f t="shared" si="81"/>
        <v>9.5</v>
      </c>
      <c r="BM190" s="537">
        <f t="shared" si="82"/>
        <v>5.6</v>
      </c>
      <c r="BN190" s="537">
        <f t="shared" si="83"/>
        <v>7.2</v>
      </c>
      <c r="BO190" s="537">
        <f t="shared" si="84"/>
        <v>8.7000000000000028</v>
      </c>
      <c r="BP190" s="537">
        <f t="shared" si="65"/>
        <v>100</v>
      </c>
      <c r="BQ190" s="534" t="s">
        <v>1979</v>
      </c>
      <c r="BR190" s="556">
        <v>8.8539999999999994E-2</v>
      </c>
      <c r="BS190" s="556">
        <v>8.8539999999999994E-2</v>
      </c>
      <c r="BT190" s="556">
        <v>1.719E-2</v>
      </c>
      <c r="BU190" s="556">
        <v>7.3859999999999995E-2</v>
      </c>
      <c r="BV190" s="556">
        <v>4.929E-2</v>
      </c>
      <c r="BW190" s="557" t="s">
        <v>2275</v>
      </c>
      <c r="BX190" s="534" t="s">
        <v>2276</v>
      </c>
      <c r="DH190" s="539" t="str">
        <f t="shared" si="85"/>
        <v>Vietnam</v>
      </c>
      <c r="DI190" s="539" t="str">
        <f t="shared" si="86"/>
        <v>Asia</v>
      </c>
      <c r="DJ190" s="539" t="str">
        <f t="shared" si="87"/>
        <v>South-Eastern Asia</v>
      </c>
      <c r="DL190" s="539" t="s">
        <v>35</v>
      </c>
    </row>
    <row r="191" spans="49:116">
      <c r="AW191" s="1395" t="s">
        <v>2316</v>
      </c>
      <c r="AX191" s="1395" t="s">
        <v>2032</v>
      </c>
      <c r="AY191" s="1396" t="s">
        <v>2098</v>
      </c>
      <c r="AZ191" s="1395">
        <v>474</v>
      </c>
      <c r="BA191" s="527" t="s">
        <v>1977</v>
      </c>
      <c r="BB191" s="535">
        <v>10.025212186531689</v>
      </c>
      <c r="BC191" s="534" t="s">
        <v>2006</v>
      </c>
      <c r="BD191" s="536"/>
      <c r="BE191" s="536"/>
      <c r="BF191" s="534"/>
      <c r="BG191" s="536"/>
      <c r="BH191" s="537">
        <f t="shared" si="77"/>
        <v>25</v>
      </c>
      <c r="BI191" s="537">
        <f t="shared" si="78"/>
        <v>7.3</v>
      </c>
      <c r="BJ191" s="537">
        <f t="shared" si="79"/>
        <v>23</v>
      </c>
      <c r="BK191" s="537">
        <f t="shared" si="80"/>
        <v>15</v>
      </c>
      <c r="BL191" s="537">
        <f t="shared" si="81"/>
        <v>9.5</v>
      </c>
      <c r="BM191" s="537">
        <f t="shared" si="82"/>
        <v>5.6</v>
      </c>
      <c r="BN191" s="537">
        <f t="shared" si="83"/>
        <v>7.3</v>
      </c>
      <c r="BO191" s="537">
        <f t="shared" si="84"/>
        <v>7.3</v>
      </c>
      <c r="BP191" s="537">
        <f t="shared" si="65"/>
        <v>99.999999999999986</v>
      </c>
      <c r="BQ191" s="534" t="s">
        <v>1979</v>
      </c>
      <c r="BR191" s="556">
        <v>8.8539999999999994E-2</v>
      </c>
      <c r="BS191" s="556">
        <v>8.8539999999999994E-2</v>
      </c>
      <c r="BT191" s="556">
        <v>1.719E-2</v>
      </c>
      <c r="BU191" s="556">
        <v>7.3859999999999995E-2</v>
      </c>
      <c r="BV191" s="556">
        <v>4.929E-2</v>
      </c>
      <c r="BW191" s="557" t="s">
        <v>2275</v>
      </c>
      <c r="BX191" s="534" t="s">
        <v>2276</v>
      </c>
      <c r="DH191" s="539" t="str">
        <f t="shared" si="85"/>
        <v>Yemen</v>
      </c>
      <c r="DI191" s="539" t="str">
        <f t="shared" si="86"/>
        <v>Asia</v>
      </c>
      <c r="DJ191" s="539" t="str">
        <f t="shared" si="87"/>
        <v>South-Eastern Asia</v>
      </c>
      <c r="DK191" s="539" t="e">
        <f>VLOOKUP(DH191,#REF!,1)</f>
        <v>#REF!</v>
      </c>
      <c r="DL191" s="539" t="e">
        <f>VLOOKUP(DK191,#REF!,2,FALSE)</f>
        <v>#REF!</v>
      </c>
    </row>
    <row r="192" spans="49:116" ht="25.5">
      <c r="AW192" s="1395" t="s">
        <v>2434</v>
      </c>
      <c r="AX192" s="1395" t="s">
        <v>2032</v>
      </c>
      <c r="AY192" s="1396" t="s">
        <v>2098</v>
      </c>
      <c r="AZ192" s="1395">
        <v>43</v>
      </c>
      <c r="BA192" s="527" t="s">
        <v>1977</v>
      </c>
      <c r="BB192" s="535">
        <v>9.3894684857089938</v>
      </c>
      <c r="BC192" s="534" t="s">
        <v>2087</v>
      </c>
      <c r="BD192" s="536"/>
      <c r="BE192" s="536"/>
      <c r="BF192" s="534"/>
      <c r="BG192" s="536"/>
      <c r="BH192" s="537">
        <f t="shared" ref="BH192:BH223" si="88">+VLOOKUP($AY192,$BZ$3:$CH$21,2,FALSE)</f>
        <v>25</v>
      </c>
      <c r="BI192" s="537">
        <f t="shared" ref="BI192:BI223" si="89">+VLOOKUP($AY192,$BZ$3:$CH$21,3,FALSE)</f>
        <v>7.3</v>
      </c>
      <c r="BJ192" s="537">
        <f t="shared" ref="BJ192:BJ223" si="90">+VLOOKUP($AY192,$BZ$3:$CH$21,4,FALSE)</f>
        <v>23</v>
      </c>
      <c r="BK192" s="537">
        <f t="shared" ref="BK192:BK223" si="91">+VLOOKUP($AY192,$BZ$3:$CH$21,5,FALSE)</f>
        <v>15</v>
      </c>
      <c r="BL192" s="537">
        <f t="shared" ref="BL192:BL223" si="92">+VLOOKUP($AY192,$BZ$3:$CH$21,6,FALSE)</f>
        <v>9.5</v>
      </c>
      <c r="BM192" s="537">
        <f t="shared" ref="BM192:BM223" si="93">+VLOOKUP($AY192,$BZ$3:$CH$21,7,FALSE)</f>
        <v>5.6</v>
      </c>
      <c r="BN192" s="537">
        <f t="shared" ref="BN192:BN223" si="94">+VLOOKUP($AY192,$BZ$3:$CH$21,8,FALSE)</f>
        <v>7.3</v>
      </c>
      <c r="BO192" s="537">
        <f t="shared" ref="BO192:BO223" si="95">+VLOOKUP($AY192,$BZ$3:$CH$21,9,FALSE)</f>
        <v>7.3</v>
      </c>
      <c r="BP192" s="537">
        <f t="shared" si="65"/>
        <v>99.999999999999986</v>
      </c>
      <c r="BQ192" s="534" t="s">
        <v>1979</v>
      </c>
      <c r="BR192" s="556">
        <v>8.8539999999999994E-2</v>
      </c>
      <c r="BS192" s="556">
        <v>8.8539999999999994E-2</v>
      </c>
      <c r="BT192" s="556">
        <v>1.719E-2</v>
      </c>
      <c r="BU192" s="556">
        <v>7.3859999999999995E-2</v>
      </c>
      <c r="BV192" s="556">
        <v>4.929E-2</v>
      </c>
      <c r="BW192" s="557" t="s">
        <v>2275</v>
      </c>
      <c r="BX192" s="534" t="s">
        <v>2276</v>
      </c>
      <c r="DH192" s="539" t="str">
        <f t="shared" si="85"/>
        <v>Canary Islands (Spain)</v>
      </c>
      <c r="DI192" s="539" t="str">
        <f t="shared" si="86"/>
        <v>Africa</v>
      </c>
      <c r="DJ192" s="539" t="str">
        <f t="shared" si="87"/>
        <v>Southern Africa</v>
      </c>
      <c r="DK192" s="539" t="e">
        <f>VLOOKUP(DH192,#REF!,1)</f>
        <v>#REF!</v>
      </c>
      <c r="DL192" s="539" t="e">
        <f>VLOOKUP(DK192,#REF!,2,FALSE)</f>
        <v>#REF!</v>
      </c>
    </row>
    <row r="193" spans="49:116">
      <c r="AW193" s="1395" t="s">
        <v>2610</v>
      </c>
      <c r="AX193" s="1395" t="s">
        <v>2032</v>
      </c>
      <c r="AY193" s="1396" t="s">
        <v>2098</v>
      </c>
      <c r="AZ193" s="1395">
        <v>43</v>
      </c>
      <c r="BA193" s="527" t="s">
        <v>1977</v>
      </c>
      <c r="BB193" s="535">
        <v>6.0503463248216685</v>
      </c>
      <c r="BC193" s="534" t="s">
        <v>2006</v>
      </c>
      <c r="BD193" s="536"/>
      <c r="BE193" s="536"/>
      <c r="BF193" s="534"/>
      <c r="BG193" s="536"/>
      <c r="BH193" s="537">
        <f t="shared" si="88"/>
        <v>25</v>
      </c>
      <c r="BI193" s="537">
        <f t="shared" si="89"/>
        <v>7.3</v>
      </c>
      <c r="BJ193" s="537">
        <f t="shared" si="90"/>
        <v>23</v>
      </c>
      <c r="BK193" s="537">
        <f t="shared" si="91"/>
        <v>15</v>
      </c>
      <c r="BL193" s="537">
        <f t="shared" si="92"/>
        <v>9.5</v>
      </c>
      <c r="BM193" s="537">
        <f t="shared" si="93"/>
        <v>5.6</v>
      </c>
      <c r="BN193" s="537">
        <f t="shared" si="94"/>
        <v>7.3</v>
      </c>
      <c r="BO193" s="537">
        <f t="shared" si="95"/>
        <v>7.3</v>
      </c>
      <c r="BP193" s="537">
        <f t="shared" si="65"/>
        <v>99.999999999999986</v>
      </c>
      <c r="BQ193" s="534" t="s">
        <v>1979</v>
      </c>
      <c r="BR193" s="556">
        <v>8.8539999999999994E-2</v>
      </c>
      <c r="BS193" s="556">
        <v>8.8539999999999994E-2</v>
      </c>
      <c r="BT193" s="556">
        <v>1.719E-2</v>
      </c>
      <c r="BU193" s="556">
        <v>7.3859999999999995E-2</v>
      </c>
      <c r="BV193" s="556">
        <v>4.929E-2</v>
      </c>
      <c r="BW193" s="557" t="s">
        <v>2275</v>
      </c>
      <c r="BX193" s="534" t="s">
        <v>2276</v>
      </c>
      <c r="DH193" s="539" t="str">
        <f t="shared" si="85"/>
        <v>Eswatini</v>
      </c>
      <c r="DI193" s="539" t="str">
        <f t="shared" si="86"/>
        <v>Africa</v>
      </c>
      <c r="DJ193" s="539" t="str">
        <f t="shared" si="87"/>
        <v>Southern Africa</v>
      </c>
      <c r="DL193" s="539" t="s">
        <v>35</v>
      </c>
    </row>
    <row r="194" spans="49:116" ht="25.5">
      <c r="AW194" s="1395" t="s">
        <v>2682</v>
      </c>
      <c r="AX194" s="1395" t="s">
        <v>2032</v>
      </c>
      <c r="AY194" s="1396" t="s">
        <v>2098</v>
      </c>
      <c r="AZ194" s="1395">
        <v>134</v>
      </c>
      <c r="BA194" s="527" t="s">
        <v>1977</v>
      </c>
      <c r="BB194" s="535">
        <v>11.740747004194485</v>
      </c>
      <c r="BC194" s="534" t="s">
        <v>2263</v>
      </c>
      <c r="BD194" s="536"/>
      <c r="BE194" s="536"/>
      <c r="BF194" s="534"/>
      <c r="BG194" s="536"/>
      <c r="BH194" s="537">
        <f t="shared" si="88"/>
        <v>25</v>
      </c>
      <c r="BI194" s="537">
        <f t="shared" si="89"/>
        <v>7.3</v>
      </c>
      <c r="BJ194" s="537">
        <f t="shared" si="90"/>
        <v>23</v>
      </c>
      <c r="BK194" s="537">
        <f t="shared" si="91"/>
        <v>15</v>
      </c>
      <c r="BL194" s="537">
        <f t="shared" si="92"/>
        <v>9.5</v>
      </c>
      <c r="BM194" s="537">
        <f t="shared" si="93"/>
        <v>5.6</v>
      </c>
      <c r="BN194" s="537">
        <f t="shared" si="94"/>
        <v>7.3</v>
      </c>
      <c r="BO194" s="537">
        <f t="shared" si="95"/>
        <v>7.3</v>
      </c>
      <c r="BP194" s="537">
        <f t="shared" si="65"/>
        <v>99.999999999999986</v>
      </c>
      <c r="BQ194" s="534" t="s">
        <v>1979</v>
      </c>
      <c r="BR194" s="556">
        <v>8.8539999999999994E-2</v>
      </c>
      <c r="BS194" s="556">
        <v>8.8539999999999994E-2</v>
      </c>
      <c r="BT194" s="556">
        <v>1.719E-2</v>
      </c>
      <c r="BU194" s="556">
        <v>7.3859999999999995E-2</v>
      </c>
      <c r="BV194" s="556">
        <v>4.929E-2</v>
      </c>
      <c r="BW194" s="557" t="s">
        <v>2275</v>
      </c>
      <c r="BX194" s="534" t="s">
        <v>2276</v>
      </c>
      <c r="DH194" s="539" t="str">
        <f t="shared" si="85"/>
        <v>Lesotho</v>
      </c>
      <c r="DI194" s="539" t="str">
        <f t="shared" si="86"/>
        <v>Africa</v>
      </c>
      <c r="DJ194" s="539" t="str">
        <f t="shared" si="87"/>
        <v>Southern Africa</v>
      </c>
      <c r="DL194" s="539" t="s">
        <v>35</v>
      </c>
    </row>
    <row r="195" spans="49:116">
      <c r="AW195" s="1395" t="s">
        <v>65</v>
      </c>
      <c r="AX195" s="1395" t="s">
        <v>2032</v>
      </c>
      <c r="AY195" s="1396" t="s">
        <v>2098</v>
      </c>
      <c r="AZ195" s="1395">
        <v>928</v>
      </c>
      <c r="BA195" s="527" t="s">
        <v>2727</v>
      </c>
      <c r="BB195" s="535">
        <v>10.884635440630655</v>
      </c>
      <c r="BC195" s="534" t="s">
        <v>2006</v>
      </c>
      <c r="BD195" s="536"/>
      <c r="BE195" s="536"/>
      <c r="BF195" s="534"/>
      <c r="BG195" s="536"/>
      <c r="BH195" s="537">
        <f t="shared" si="88"/>
        <v>25</v>
      </c>
      <c r="BI195" s="537">
        <f t="shared" si="89"/>
        <v>7.3</v>
      </c>
      <c r="BJ195" s="537">
        <f t="shared" si="90"/>
        <v>23</v>
      </c>
      <c r="BK195" s="537">
        <f t="shared" si="91"/>
        <v>15</v>
      </c>
      <c r="BL195" s="537">
        <f t="shared" si="92"/>
        <v>9.5</v>
      </c>
      <c r="BM195" s="537">
        <f t="shared" si="93"/>
        <v>5.6</v>
      </c>
      <c r="BN195" s="537">
        <f t="shared" si="94"/>
        <v>7.3</v>
      </c>
      <c r="BO195" s="537">
        <f t="shared" si="95"/>
        <v>7.3</v>
      </c>
      <c r="BP195" s="537">
        <f t="shared" si="65"/>
        <v>99.999999999999986</v>
      </c>
      <c r="BQ195" s="534" t="s">
        <v>1979</v>
      </c>
      <c r="BR195" s="556">
        <v>8.8539999999999994E-2</v>
      </c>
      <c r="BS195" s="556">
        <v>8.8539999999999994E-2</v>
      </c>
      <c r="BT195" s="556">
        <v>1.719E-2</v>
      </c>
      <c r="BU195" s="556">
        <v>7.3859999999999995E-2</v>
      </c>
      <c r="BV195" s="556">
        <v>4.929E-2</v>
      </c>
      <c r="BW195" s="557" t="s">
        <v>2275</v>
      </c>
      <c r="BX195" s="534" t="s">
        <v>2276</v>
      </c>
      <c r="DH195" s="539" t="str">
        <f t="shared" si="85"/>
        <v>Namibia</v>
      </c>
      <c r="DI195" s="539" t="str">
        <f t="shared" si="86"/>
        <v>Africa</v>
      </c>
      <c r="DJ195" s="539" t="str">
        <f t="shared" si="87"/>
        <v>Southern Africa</v>
      </c>
      <c r="DL195" s="539" t="s">
        <v>35</v>
      </c>
    </row>
    <row r="196" spans="49:116">
      <c r="AW196" s="1395" t="s">
        <v>2375</v>
      </c>
      <c r="AX196" s="1395" t="s">
        <v>2005</v>
      </c>
      <c r="AY196" s="1396" t="s">
        <v>2134</v>
      </c>
      <c r="AZ196" s="1395">
        <v>210</v>
      </c>
      <c r="BA196" s="527" t="s">
        <v>2178</v>
      </c>
      <c r="BB196" s="535">
        <v>10.031411996050203</v>
      </c>
      <c r="BC196" s="534" t="s">
        <v>2006</v>
      </c>
      <c r="BD196" s="536"/>
      <c r="BE196" s="536"/>
      <c r="BF196" s="534"/>
      <c r="BG196" s="536"/>
      <c r="BH196" s="537">
        <f t="shared" si="88"/>
        <v>17</v>
      </c>
      <c r="BI196" s="537">
        <f t="shared" si="89"/>
        <v>6.8</v>
      </c>
      <c r="BJ196" s="537">
        <f t="shared" si="90"/>
        <v>36.9</v>
      </c>
      <c r="BK196" s="537">
        <f t="shared" si="91"/>
        <v>10.6</v>
      </c>
      <c r="BL196" s="537">
        <f t="shared" si="92"/>
        <v>9.5</v>
      </c>
      <c r="BM196" s="537">
        <f t="shared" si="93"/>
        <v>5.6</v>
      </c>
      <c r="BN196" s="537">
        <f t="shared" si="94"/>
        <v>6.8</v>
      </c>
      <c r="BO196" s="537">
        <f t="shared" si="95"/>
        <v>6.8</v>
      </c>
      <c r="BP196" s="537">
        <f t="shared" ref="BP196:BP259" si="96">+SUM(BH196:BO196)</f>
        <v>99.999999999999986</v>
      </c>
      <c r="BQ196" s="534" t="s">
        <v>1979</v>
      </c>
      <c r="BR196" s="556">
        <v>8.8539999999999994E-2</v>
      </c>
      <c r="BS196" s="556">
        <v>8.8539999999999994E-2</v>
      </c>
      <c r="BT196" s="556">
        <v>1.719E-2</v>
      </c>
      <c r="BU196" s="556">
        <v>7.3859999999999995E-2</v>
      </c>
      <c r="BV196" s="556">
        <v>4.929E-2</v>
      </c>
      <c r="BW196" s="557" t="s">
        <v>2275</v>
      </c>
      <c r="BX196" s="534" t="s">
        <v>2276</v>
      </c>
      <c r="DH196" s="539" t="str">
        <f t="shared" si="85"/>
        <v>South Africa</v>
      </c>
      <c r="DI196" s="539" t="str">
        <f t="shared" si="86"/>
        <v>Africa</v>
      </c>
      <c r="DJ196" s="539" t="str">
        <f t="shared" si="87"/>
        <v>Southern Africa</v>
      </c>
      <c r="DK196" s="539" t="e">
        <f>VLOOKUP(DH196,#REF!,1)</f>
        <v>#REF!</v>
      </c>
      <c r="DL196" s="539" t="e">
        <f>VLOOKUP(DK196,#REF!,2,FALSE)</f>
        <v>#REF!</v>
      </c>
    </row>
    <row r="197" spans="49:116" ht="25.5">
      <c r="AW197" s="1395" t="s">
        <v>2480</v>
      </c>
      <c r="AX197" s="1395" t="s">
        <v>2005</v>
      </c>
      <c r="AY197" s="1396" t="s">
        <v>2134</v>
      </c>
      <c r="AZ197" s="1395">
        <v>623</v>
      </c>
      <c r="BA197" s="527" t="s">
        <v>2178</v>
      </c>
      <c r="BB197" s="535">
        <v>11.740747004194485</v>
      </c>
      <c r="BC197" s="534" t="s">
        <v>2263</v>
      </c>
      <c r="BD197" s="536"/>
      <c r="BE197" s="536"/>
      <c r="BF197" s="534"/>
      <c r="BG197" s="536"/>
      <c r="BH197" s="537">
        <f t="shared" si="88"/>
        <v>17</v>
      </c>
      <c r="BI197" s="537">
        <f t="shared" si="89"/>
        <v>6.8</v>
      </c>
      <c r="BJ197" s="537">
        <f t="shared" si="90"/>
        <v>36.9</v>
      </c>
      <c r="BK197" s="537">
        <f t="shared" si="91"/>
        <v>10.6</v>
      </c>
      <c r="BL197" s="537">
        <f t="shared" si="92"/>
        <v>9.5</v>
      </c>
      <c r="BM197" s="537">
        <f t="shared" si="93"/>
        <v>5.6</v>
      </c>
      <c r="BN197" s="537">
        <f t="shared" si="94"/>
        <v>6.8</v>
      </c>
      <c r="BO197" s="537">
        <f t="shared" si="95"/>
        <v>6.8</v>
      </c>
      <c r="BP197" s="537">
        <f t="shared" si="96"/>
        <v>99.999999999999986</v>
      </c>
      <c r="BQ197" s="534" t="s">
        <v>1979</v>
      </c>
      <c r="BR197" s="556">
        <v>8.8539999999999994E-2</v>
      </c>
      <c r="BS197" s="556">
        <v>8.8539999999999994E-2</v>
      </c>
      <c r="BT197" s="556">
        <v>1.719E-2</v>
      </c>
      <c r="BU197" s="556">
        <v>7.3859999999999995E-2</v>
      </c>
      <c r="BV197" s="556">
        <v>4.929E-2</v>
      </c>
      <c r="BW197" s="557" t="s">
        <v>2275</v>
      </c>
      <c r="BX197" s="534" t="s">
        <v>2276</v>
      </c>
      <c r="DH197" s="539" t="str">
        <f t="shared" si="85"/>
        <v>Croatia</v>
      </c>
      <c r="DI197" s="539" t="str">
        <f t="shared" si="86"/>
        <v>Europe</v>
      </c>
      <c r="DJ197" s="539" t="str">
        <f t="shared" si="87"/>
        <v>Southern Europe</v>
      </c>
      <c r="DK197" s="539" t="s">
        <v>2706</v>
      </c>
      <c r="DL197" s="539" t="e">
        <f>VLOOKUP(DK197,#REF!,2,FALSE)</f>
        <v>#REF!</v>
      </c>
    </row>
    <row r="198" spans="49:116" ht="25.5">
      <c r="AW198" s="1395" t="s">
        <v>51</v>
      </c>
      <c r="AX198" s="1395" t="s">
        <v>2005</v>
      </c>
      <c r="AY198" s="1396" t="s">
        <v>2134</v>
      </c>
      <c r="AZ198" s="1395">
        <v>256.2</v>
      </c>
      <c r="BA198" s="527" t="s">
        <v>2178</v>
      </c>
      <c r="BB198" s="535">
        <v>11.740747004194485</v>
      </c>
      <c r="BC198" s="534" t="s">
        <v>2263</v>
      </c>
      <c r="BD198" s="536"/>
      <c r="BE198" s="536"/>
      <c r="BF198" s="534"/>
      <c r="BG198" s="536"/>
      <c r="BH198" s="537">
        <f t="shared" si="88"/>
        <v>17</v>
      </c>
      <c r="BI198" s="537">
        <f t="shared" si="89"/>
        <v>6.8</v>
      </c>
      <c r="BJ198" s="537">
        <f t="shared" si="90"/>
        <v>36.9</v>
      </c>
      <c r="BK198" s="537">
        <f t="shared" si="91"/>
        <v>10.6</v>
      </c>
      <c r="BL198" s="537">
        <f t="shared" si="92"/>
        <v>9.5</v>
      </c>
      <c r="BM198" s="537">
        <f t="shared" si="93"/>
        <v>5.6</v>
      </c>
      <c r="BN198" s="537">
        <f t="shared" si="94"/>
        <v>6.8</v>
      </c>
      <c r="BO198" s="537">
        <f t="shared" si="95"/>
        <v>6.8</v>
      </c>
      <c r="BP198" s="537">
        <f t="shared" si="96"/>
        <v>99.999999999999986</v>
      </c>
      <c r="BQ198" s="534" t="s">
        <v>1979</v>
      </c>
      <c r="BR198" s="556">
        <v>8.8539999999999994E-2</v>
      </c>
      <c r="BS198" s="556">
        <v>8.8539999999999994E-2</v>
      </c>
      <c r="BT198" s="556">
        <v>1.719E-2</v>
      </c>
      <c r="BU198" s="556">
        <v>7.3859999999999995E-2</v>
      </c>
      <c r="BV198" s="556">
        <v>4.929E-2</v>
      </c>
      <c r="BW198" s="557" t="s">
        <v>2275</v>
      </c>
      <c r="BX198" s="534" t="s">
        <v>2276</v>
      </c>
      <c r="DH198" s="539" t="str">
        <f t="shared" si="85"/>
        <v>Greece</v>
      </c>
      <c r="DI198" s="539" t="str">
        <f t="shared" si="86"/>
        <v>Europe</v>
      </c>
      <c r="DJ198" s="539" t="str">
        <f t="shared" si="87"/>
        <v>Southern Europe</v>
      </c>
      <c r="DL198" s="539" t="s">
        <v>35</v>
      </c>
    </row>
    <row r="199" spans="49:116" ht="25.5">
      <c r="AW199" s="1395" t="s">
        <v>2631</v>
      </c>
      <c r="AX199" s="1395" t="s">
        <v>2005</v>
      </c>
      <c r="AY199" s="1396" t="s">
        <v>2134</v>
      </c>
      <c r="AZ199" s="1395">
        <v>691</v>
      </c>
      <c r="BA199" s="527" t="s">
        <v>1977</v>
      </c>
      <c r="BB199" s="535">
        <v>9.3894684857089938</v>
      </c>
      <c r="BC199" s="534" t="s">
        <v>2087</v>
      </c>
      <c r="BD199" s="536"/>
      <c r="BE199" s="536"/>
      <c r="BF199" s="534"/>
      <c r="BG199" s="536"/>
      <c r="BH199" s="537">
        <f t="shared" si="88"/>
        <v>17</v>
      </c>
      <c r="BI199" s="537">
        <f t="shared" si="89"/>
        <v>6.8</v>
      </c>
      <c r="BJ199" s="537">
        <f t="shared" si="90"/>
        <v>36.9</v>
      </c>
      <c r="BK199" s="537">
        <f t="shared" si="91"/>
        <v>10.6</v>
      </c>
      <c r="BL199" s="537">
        <f t="shared" si="92"/>
        <v>9.5</v>
      </c>
      <c r="BM199" s="537">
        <f t="shared" si="93"/>
        <v>5.6</v>
      </c>
      <c r="BN199" s="537">
        <f t="shared" si="94"/>
        <v>6.8</v>
      </c>
      <c r="BO199" s="537">
        <f t="shared" si="95"/>
        <v>6.8</v>
      </c>
      <c r="BP199" s="537">
        <f t="shared" si="96"/>
        <v>99.999999999999986</v>
      </c>
      <c r="BQ199" s="534" t="s">
        <v>1979</v>
      </c>
      <c r="BR199" s="556">
        <v>8.8539999999999994E-2</v>
      </c>
      <c r="BS199" s="556">
        <v>8.8539999999999994E-2</v>
      </c>
      <c r="BT199" s="556">
        <v>1.719E-2</v>
      </c>
      <c r="BU199" s="556">
        <v>7.3859999999999995E-2</v>
      </c>
      <c r="BV199" s="556">
        <v>4.929E-2</v>
      </c>
      <c r="BW199" s="557" t="s">
        <v>2275</v>
      </c>
      <c r="BX199" s="534" t="s">
        <v>2276</v>
      </c>
      <c r="DH199" s="539" t="str">
        <f t="shared" si="85"/>
        <v>Italy</v>
      </c>
      <c r="DI199" s="539" t="str">
        <f t="shared" si="86"/>
        <v>Europe</v>
      </c>
      <c r="DJ199" s="539" t="str">
        <f t="shared" si="87"/>
        <v>Southern Europe</v>
      </c>
      <c r="DL199" s="539" t="s">
        <v>35</v>
      </c>
    </row>
    <row r="200" spans="49:116" ht="25.5">
      <c r="AW200" s="1395" t="s">
        <v>2637</v>
      </c>
      <c r="AX200" s="1395" t="s">
        <v>2005</v>
      </c>
      <c r="AY200" s="1396" t="s">
        <v>2134</v>
      </c>
      <c r="AZ200" s="1395">
        <v>474</v>
      </c>
      <c r="BA200" s="527" t="s">
        <v>1977</v>
      </c>
      <c r="BB200" s="535">
        <v>9.3894684857089938</v>
      </c>
      <c r="BC200" s="534" t="s">
        <v>2087</v>
      </c>
      <c r="BD200" s="536"/>
      <c r="BE200" s="536"/>
      <c r="BF200" s="534"/>
      <c r="BG200" s="536"/>
      <c r="BH200" s="537">
        <f t="shared" si="88"/>
        <v>17</v>
      </c>
      <c r="BI200" s="537">
        <f t="shared" si="89"/>
        <v>6.8</v>
      </c>
      <c r="BJ200" s="537">
        <f t="shared" si="90"/>
        <v>36.9</v>
      </c>
      <c r="BK200" s="537">
        <f t="shared" si="91"/>
        <v>10.6</v>
      </c>
      <c r="BL200" s="537">
        <f t="shared" si="92"/>
        <v>9.5</v>
      </c>
      <c r="BM200" s="537">
        <f t="shared" si="93"/>
        <v>5.6</v>
      </c>
      <c r="BN200" s="537">
        <f t="shared" si="94"/>
        <v>6.8</v>
      </c>
      <c r="BO200" s="537">
        <f t="shared" si="95"/>
        <v>6.8</v>
      </c>
      <c r="BP200" s="537">
        <f t="shared" si="96"/>
        <v>99.999999999999986</v>
      </c>
      <c r="BQ200" s="534" t="s">
        <v>1979</v>
      </c>
      <c r="BR200" s="556">
        <v>8.8539999999999994E-2</v>
      </c>
      <c r="BS200" s="556">
        <v>8.8539999999999994E-2</v>
      </c>
      <c r="BT200" s="556">
        <v>1.719E-2</v>
      </c>
      <c r="BU200" s="556">
        <v>7.3859999999999995E-2</v>
      </c>
      <c r="BV200" s="556">
        <v>4.929E-2</v>
      </c>
      <c r="BW200" s="557" t="s">
        <v>2275</v>
      </c>
      <c r="BX200" s="534" t="s">
        <v>2276</v>
      </c>
      <c r="DH200" s="539" t="str">
        <f t="shared" si="85"/>
        <v>Macedonia. North</v>
      </c>
      <c r="DI200" s="539" t="str">
        <f t="shared" si="86"/>
        <v>Europe</v>
      </c>
      <c r="DJ200" s="539" t="str">
        <f t="shared" si="87"/>
        <v>Southern Europe</v>
      </c>
      <c r="DL200" s="539" t="s">
        <v>35</v>
      </c>
    </row>
    <row r="201" spans="49:116" ht="25.5">
      <c r="AW201" s="1395" t="s">
        <v>2650</v>
      </c>
      <c r="AX201" s="1395" t="s">
        <v>2005</v>
      </c>
      <c r="AY201" s="1396" t="s">
        <v>2134</v>
      </c>
      <c r="AZ201" s="1395">
        <v>648</v>
      </c>
      <c r="BA201" s="527" t="s">
        <v>2178</v>
      </c>
      <c r="BB201" s="535">
        <v>9.3894684857089938</v>
      </c>
      <c r="BC201" s="534" t="s">
        <v>2087</v>
      </c>
      <c r="BD201" s="536"/>
      <c r="BE201" s="536"/>
      <c r="BF201" s="534"/>
      <c r="BG201" s="536"/>
      <c r="BH201" s="537">
        <f t="shared" si="88"/>
        <v>17</v>
      </c>
      <c r="BI201" s="537">
        <f t="shared" si="89"/>
        <v>6.8</v>
      </c>
      <c r="BJ201" s="537">
        <f t="shared" si="90"/>
        <v>36.9</v>
      </c>
      <c r="BK201" s="537">
        <f t="shared" si="91"/>
        <v>10.6</v>
      </c>
      <c r="BL201" s="537">
        <f t="shared" si="92"/>
        <v>9.5</v>
      </c>
      <c r="BM201" s="537">
        <f t="shared" si="93"/>
        <v>5.6</v>
      </c>
      <c r="BN201" s="537">
        <f t="shared" si="94"/>
        <v>6.8</v>
      </c>
      <c r="BO201" s="537">
        <f t="shared" si="95"/>
        <v>6.8</v>
      </c>
      <c r="BP201" s="537">
        <f t="shared" si="96"/>
        <v>99.999999999999986</v>
      </c>
      <c r="BQ201" s="534" t="s">
        <v>1979</v>
      </c>
      <c r="BR201" s="556">
        <v>8.8539999999999994E-2</v>
      </c>
      <c r="BS201" s="556">
        <v>8.8539999999999994E-2</v>
      </c>
      <c r="BT201" s="556">
        <v>1.719E-2</v>
      </c>
      <c r="BU201" s="556">
        <v>7.3859999999999995E-2</v>
      </c>
      <c r="BV201" s="556">
        <v>4.929E-2</v>
      </c>
      <c r="BW201" s="557" t="s">
        <v>2275</v>
      </c>
      <c r="BX201" s="534" t="s">
        <v>2276</v>
      </c>
      <c r="DH201" s="539" t="str">
        <f t="shared" si="85"/>
        <v>Madeira (Portugal)</v>
      </c>
      <c r="DI201" s="539" t="str">
        <f t="shared" si="86"/>
        <v>Europe</v>
      </c>
      <c r="DJ201" s="539" t="str">
        <f t="shared" si="87"/>
        <v>Southern Europe</v>
      </c>
      <c r="DL201" s="539" t="s">
        <v>35</v>
      </c>
    </row>
    <row r="202" spans="49:116">
      <c r="AW202" s="1395" t="s">
        <v>2677</v>
      </c>
      <c r="AX202" s="1395" t="s">
        <v>2005</v>
      </c>
      <c r="AY202" s="1396" t="s">
        <v>2134</v>
      </c>
      <c r="AZ202" s="1395">
        <v>544</v>
      </c>
      <c r="BA202" s="527" t="s">
        <v>1977</v>
      </c>
      <c r="BB202" s="551">
        <v>8.2505991847772364</v>
      </c>
      <c r="BC202" s="534" t="s">
        <v>2484</v>
      </c>
      <c r="BD202" s="536"/>
      <c r="BE202" s="536"/>
      <c r="BF202" s="534"/>
      <c r="BG202" s="536"/>
      <c r="BH202" s="537">
        <f t="shared" si="88"/>
        <v>17</v>
      </c>
      <c r="BI202" s="537">
        <f t="shared" si="89"/>
        <v>6.8</v>
      </c>
      <c r="BJ202" s="537">
        <f t="shared" si="90"/>
        <v>36.9</v>
      </c>
      <c r="BK202" s="537">
        <f t="shared" si="91"/>
        <v>10.6</v>
      </c>
      <c r="BL202" s="537">
        <f t="shared" si="92"/>
        <v>9.5</v>
      </c>
      <c r="BM202" s="537">
        <f t="shared" si="93"/>
        <v>5.6</v>
      </c>
      <c r="BN202" s="537">
        <f t="shared" si="94"/>
        <v>6.8</v>
      </c>
      <c r="BO202" s="537">
        <f t="shared" si="95"/>
        <v>6.8</v>
      </c>
      <c r="BP202" s="537">
        <f t="shared" si="96"/>
        <v>99.999999999999986</v>
      </c>
      <c r="BQ202" s="534" t="s">
        <v>1979</v>
      </c>
      <c r="BR202" s="556">
        <v>8.8539999999999994E-2</v>
      </c>
      <c r="BS202" s="556">
        <v>8.8539999999999994E-2</v>
      </c>
      <c r="BT202" s="556">
        <v>1.719E-2</v>
      </c>
      <c r="BU202" s="556">
        <v>7.3859999999999995E-2</v>
      </c>
      <c r="BV202" s="556">
        <v>4.929E-2</v>
      </c>
      <c r="BW202" s="557" t="s">
        <v>2275</v>
      </c>
      <c r="BX202" s="534" t="s">
        <v>2276</v>
      </c>
      <c r="DH202" s="539" t="str">
        <f t="shared" si="85"/>
        <v>Malta</v>
      </c>
      <c r="DI202" s="539" t="str">
        <f t="shared" si="86"/>
        <v>Europe</v>
      </c>
      <c r="DJ202" s="539" t="str">
        <f t="shared" si="87"/>
        <v>Southern Europe</v>
      </c>
      <c r="DL202" s="539" t="s">
        <v>35</v>
      </c>
    </row>
    <row r="203" spans="49:116" ht="25.5">
      <c r="AW203" s="1395" t="s">
        <v>60</v>
      </c>
      <c r="AX203" s="1395" t="s">
        <v>2005</v>
      </c>
      <c r="AY203" s="1396" t="s">
        <v>2134</v>
      </c>
      <c r="AZ203" s="1395">
        <v>324.7</v>
      </c>
      <c r="BA203" s="527" t="s">
        <v>2178</v>
      </c>
      <c r="BB203" s="535">
        <v>9.3894684857089938</v>
      </c>
      <c r="BC203" s="534" t="s">
        <v>2087</v>
      </c>
      <c r="BD203" s="536"/>
      <c r="BE203" s="536"/>
      <c r="BF203" s="534"/>
      <c r="BG203" s="536"/>
      <c r="BH203" s="537">
        <f t="shared" si="88"/>
        <v>17</v>
      </c>
      <c r="BI203" s="537">
        <f t="shared" si="89"/>
        <v>6.8</v>
      </c>
      <c r="BJ203" s="537">
        <f t="shared" si="90"/>
        <v>36.9</v>
      </c>
      <c r="BK203" s="537">
        <f t="shared" si="91"/>
        <v>10.6</v>
      </c>
      <c r="BL203" s="537">
        <f t="shared" si="92"/>
        <v>9.5</v>
      </c>
      <c r="BM203" s="537">
        <f t="shared" si="93"/>
        <v>5.6</v>
      </c>
      <c r="BN203" s="537">
        <f t="shared" si="94"/>
        <v>6.8</v>
      </c>
      <c r="BO203" s="537">
        <f t="shared" si="95"/>
        <v>6.8</v>
      </c>
      <c r="BP203" s="537">
        <f t="shared" si="96"/>
        <v>99.999999999999986</v>
      </c>
      <c r="BQ203" s="534" t="s">
        <v>1979</v>
      </c>
      <c r="BR203" s="556">
        <v>8.8539999999999994E-2</v>
      </c>
      <c r="BS203" s="556">
        <v>8.8539999999999994E-2</v>
      </c>
      <c r="BT203" s="556">
        <v>1.719E-2</v>
      </c>
      <c r="BU203" s="556">
        <v>7.3859999999999995E-2</v>
      </c>
      <c r="BV203" s="556">
        <v>4.929E-2</v>
      </c>
      <c r="BW203" s="557" t="s">
        <v>2275</v>
      </c>
      <c r="BX203" s="534" t="s">
        <v>2276</v>
      </c>
      <c r="DH203" s="539" t="str">
        <f t="shared" si="85"/>
        <v>Montenegro</v>
      </c>
      <c r="DI203" s="539" t="str">
        <f t="shared" si="86"/>
        <v>Europe</v>
      </c>
      <c r="DJ203" s="539" t="str">
        <f t="shared" si="87"/>
        <v>Southern Europe</v>
      </c>
      <c r="DL203" s="539" t="s">
        <v>35</v>
      </c>
    </row>
    <row r="204" spans="49:116" ht="25.5">
      <c r="AW204" s="1395" t="s">
        <v>2715</v>
      </c>
      <c r="AX204" s="1395" t="s">
        <v>2005</v>
      </c>
      <c r="AY204" s="1396" t="s">
        <v>2134</v>
      </c>
      <c r="AZ204" s="1395">
        <v>43</v>
      </c>
      <c r="BA204" s="527" t="s">
        <v>1977</v>
      </c>
      <c r="BB204" s="535">
        <v>5.4123414965002699</v>
      </c>
      <c r="BC204" s="534" t="s">
        <v>2049</v>
      </c>
      <c r="BD204" s="536"/>
      <c r="BE204" s="536"/>
      <c r="BF204" s="534"/>
      <c r="BG204" s="536"/>
      <c r="BH204" s="537">
        <f t="shared" si="88"/>
        <v>17</v>
      </c>
      <c r="BI204" s="537">
        <f t="shared" si="89"/>
        <v>6.8</v>
      </c>
      <c r="BJ204" s="537">
        <f t="shared" si="90"/>
        <v>36.9</v>
      </c>
      <c r="BK204" s="537">
        <f t="shared" si="91"/>
        <v>10.6</v>
      </c>
      <c r="BL204" s="537">
        <f t="shared" si="92"/>
        <v>9.5</v>
      </c>
      <c r="BM204" s="537">
        <f t="shared" si="93"/>
        <v>5.6</v>
      </c>
      <c r="BN204" s="537">
        <f t="shared" si="94"/>
        <v>6.8</v>
      </c>
      <c r="BO204" s="537">
        <f t="shared" si="95"/>
        <v>6.8</v>
      </c>
      <c r="BP204" s="537">
        <f t="shared" si="96"/>
        <v>99.999999999999986</v>
      </c>
      <c r="BQ204" s="534" t="s">
        <v>1979</v>
      </c>
      <c r="BR204" s="556">
        <v>8.8539999999999994E-2</v>
      </c>
      <c r="BS204" s="556">
        <v>8.8539999999999994E-2</v>
      </c>
      <c r="BT204" s="556">
        <v>1.719E-2</v>
      </c>
      <c r="BU204" s="556">
        <v>7.3859999999999995E-2</v>
      </c>
      <c r="BV204" s="556">
        <v>4.929E-2</v>
      </c>
      <c r="BW204" s="557" t="s">
        <v>2275</v>
      </c>
      <c r="BX204" s="534" t="s">
        <v>2276</v>
      </c>
      <c r="DH204" s="539" t="str">
        <f t="shared" ref="DH204:DH235" si="97">AW203</f>
        <v>Portugal</v>
      </c>
      <c r="DI204" s="539" t="str">
        <f t="shared" ref="DI204:DI235" si="98">AX203</f>
        <v>Europe</v>
      </c>
      <c r="DJ204" s="539" t="str">
        <f t="shared" ref="DJ204:DJ235" si="99">AY203</f>
        <v>Southern Europe</v>
      </c>
      <c r="DL204" s="539" t="s">
        <v>35</v>
      </c>
    </row>
    <row r="205" spans="49:116" ht="25.5">
      <c r="AW205" s="1395" t="s">
        <v>2719</v>
      </c>
      <c r="AX205" s="1395" t="s">
        <v>2005</v>
      </c>
      <c r="AY205" s="1396" t="s">
        <v>2134</v>
      </c>
      <c r="AZ205" s="1395">
        <v>690</v>
      </c>
      <c r="BA205" s="527" t="s">
        <v>1977</v>
      </c>
      <c r="BB205" s="535">
        <v>6.2171813834411278</v>
      </c>
      <c r="BC205" s="534" t="s">
        <v>2062</v>
      </c>
      <c r="BD205" s="536"/>
      <c r="BE205" s="536"/>
      <c r="BF205" s="534"/>
      <c r="BG205" s="536"/>
      <c r="BH205" s="537">
        <f t="shared" si="88"/>
        <v>17</v>
      </c>
      <c r="BI205" s="537">
        <f t="shared" si="89"/>
        <v>6.8</v>
      </c>
      <c r="BJ205" s="537">
        <f t="shared" si="90"/>
        <v>36.9</v>
      </c>
      <c r="BK205" s="537">
        <f t="shared" si="91"/>
        <v>10.6</v>
      </c>
      <c r="BL205" s="537">
        <f t="shared" si="92"/>
        <v>9.5</v>
      </c>
      <c r="BM205" s="537">
        <f t="shared" si="93"/>
        <v>5.6</v>
      </c>
      <c r="BN205" s="537">
        <f t="shared" si="94"/>
        <v>6.8</v>
      </c>
      <c r="BO205" s="537">
        <f t="shared" si="95"/>
        <v>6.8</v>
      </c>
      <c r="BP205" s="537">
        <f t="shared" si="96"/>
        <v>99.999999999999986</v>
      </c>
      <c r="BQ205" s="534" t="s">
        <v>1979</v>
      </c>
      <c r="BR205" s="556">
        <v>8.8539999999999994E-2</v>
      </c>
      <c r="BS205" s="556">
        <v>8.8539999999999994E-2</v>
      </c>
      <c r="BT205" s="556">
        <v>1.719E-2</v>
      </c>
      <c r="BU205" s="556">
        <v>7.3859999999999995E-2</v>
      </c>
      <c r="BV205" s="556">
        <v>4.929E-2</v>
      </c>
      <c r="BW205" s="557" t="s">
        <v>2275</v>
      </c>
      <c r="BX205" s="534" t="s">
        <v>2276</v>
      </c>
      <c r="DH205" s="539" t="str">
        <f t="shared" si="97"/>
        <v>San Marino</v>
      </c>
      <c r="DI205" s="539" t="str">
        <f t="shared" si="98"/>
        <v>Europe</v>
      </c>
      <c r="DJ205" s="539" t="str">
        <f t="shared" si="99"/>
        <v>Southern Europe</v>
      </c>
      <c r="DL205" s="539" t="s">
        <v>35</v>
      </c>
    </row>
    <row r="206" spans="49:116" ht="25.5">
      <c r="AW206" s="1395" t="s">
        <v>2724</v>
      </c>
      <c r="AX206" s="1395" t="s">
        <v>2005</v>
      </c>
      <c r="AY206" s="1396" t="s">
        <v>2134</v>
      </c>
      <c r="AZ206" s="1395">
        <v>254.1</v>
      </c>
      <c r="BA206" s="527" t="s">
        <v>2178</v>
      </c>
      <c r="BB206" s="535">
        <v>11.740747004194485</v>
      </c>
      <c r="BC206" s="534" t="s">
        <v>2263</v>
      </c>
      <c r="BD206" s="536"/>
      <c r="BE206" s="536"/>
      <c r="BF206" s="534"/>
      <c r="BG206" s="536"/>
      <c r="BH206" s="537">
        <f t="shared" si="88"/>
        <v>17</v>
      </c>
      <c r="BI206" s="537">
        <f t="shared" si="89"/>
        <v>6.8</v>
      </c>
      <c r="BJ206" s="537">
        <f t="shared" si="90"/>
        <v>36.9</v>
      </c>
      <c r="BK206" s="537">
        <f t="shared" si="91"/>
        <v>10.6</v>
      </c>
      <c r="BL206" s="537">
        <f t="shared" si="92"/>
        <v>9.5</v>
      </c>
      <c r="BM206" s="537">
        <f t="shared" si="93"/>
        <v>5.6</v>
      </c>
      <c r="BN206" s="537">
        <f t="shared" si="94"/>
        <v>6.8</v>
      </c>
      <c r="BO206" s="537">
        <f t="shared" si="95"/>
        <v>6.8</v>
      </c>
      <c r="BP206" s="537">
        <f t="shared" si="96"/>
        <v>99.999999999999986</v>
      </c>
      <c r="BQ206" s="534" t="s">
        <v>1979</v>
      </c>
      <c r="BR206" s="556">
        <v>8.8539999999999994E-2</v>
      </c>
      <c r="BS206" s="556">
        <v>8.8539999999999994E-2</v>
      </c>
      <c r="BT206" s="556">
        <v>1.719E-2</v>
      </c>
      <c r="BU206" s="556">
        <v>7.3859999999999995E-2</v>
      </c>
      <c r="BV206" s="556">
        <v>4.929E-2</v>
      </c>
      <c r="BW206" s="557" t="s">
        <v>2275</v>
      </c>
      <c r="BX206" s="534" t="s">
        <v>2276</v>
      </c>
      <c r="DH206" s="539" t="str">
        <f t="shared" si="97"/>
        <v>Serbia</v>
      </c>
      <c r="DI206" s="539" t="str">
        <f t="shared" si="98"/>
        <v>Europe</v>
      </c>
      <c r="DJ206" s="539" t="str">
        <f t="shared" si="99"/>
        <v>Southern Europe</v>
      </c>
      <c r="DL206" s="539" t="s">
        <v>35</v>
      </c>
    </row>
    <row r="207" spans="49:116">
      <c r="AW207" s="1395" t="s">
        <v>66</v>
      </c>
      <c r="AX207" s="1395" t="s">
        <v>2005</v>
      </c>
      <c r="AY207" s="1396" t="s">
        <v>2134</v>
      </c>
      <c r="AZ207" s="1395">
        <v>265.39999999999998</v>
      </c>
      <c r="BA207" s="527" t="s">
        <v>2178</v>
      </c>
      <c r="BB207" s="535">
        <v>6.7811395547231283</v>
      </c>
      <c r="BC207" s="534" t="s">
        <v>2006</v>
      </c>
      <c r="BD207" s="536"/>
      <c r="BE207" s="536"/>
      <c r="BF207" s="534"/>
      <c r="BG207" s="536"/>
      <c r="BH207" s="537">
        <f t="shared" si="88"/>
        <v>17</v>
      </c>
      <c r="BI207" s="537">
        <f t="shared" si="89"/>
        <v>6.8</v>
      </c>
      <c r="BJ207" s="537">
        <f t="shared" si="90"/>
        <v>36.9</v>
      </c>
      <c r="BK207" s="537">
        <f t="shared" si="91"/>
        <v>10.6</v>
      </c>
      <c r="BL207" s="537">
        <f t="shared" si="92"/>
        <v>9.5</v>
      </c>
      <c r="BM207" s="537">
        <f t="shared" si="93"/>
        <v>5.6</v>
      </c>
      <c r="BN207" s="537">
        <f t="shared" si="94"/>
        <v>6.8</v>
      </c>
      <c r="BO207" s="537">
        <f t="shared" si="95"/>
        <v>6.8</v>
      </c>
      <c r="BP207" s="537">
        <f t="shared" si="96"/>
        <v>99.999999999999986</v>
      </c>
      <c r="BQ207" s="534" t="s">
        <v>1979</v>
      </c>
      <c r="BR207" s="556">
        <v>8.8539999999999994E-2</v>
      </c>
      <c r="BS207" s="556">
        <v>8.8539999999999994E-2</v>
      </c>
      <c r="BT207" s="556">
        <v>1.719E-2</v>
      </c>
      <c r="BU207" s="556">
        <v>7.3859999999999995E-2</v>
      </c>
      <c r="BV207" s="556">
        <v>4.929E-2</v>
      </c>
      <c r="BW207" s="557" t="s">
        <v>2275</v>
      </c>
      <c r="BX207" s="534" t="s">
        <v>2276</v>
      </c>
      <c r="DH207" s="539" t="str">
        <f t="shared" si="97"/>
        <v>Slovenia</v>
      </c>
      <c r="DI207" s="539" t="str">
        <f t="shared" si="98"/>
        <v>Europe</v>
      </c>
      <c r="DJ207" s="539" t="str">
        <f t="shared" si="99"/>
        <v>Southern Europe</v>
      </c>
      <c r="DL207" s="539" t="s">
        <v>35</v>
      </c>
    </row>
    <row r="208" spans="49:116">
      <c r="AW208" s="1395" t="s">
        <v>2258</v>
      </c>
      <c r="AX208" s="1395" t="s">
        <v>2032</v>
      </c>
      <c r="AY208" s="1396" t="s">
        <v>2108</v>
      </c>
      <c r="AZ208" s="1395">
        <v>636</v>
      </c>
      <c r="BA208" s="527" t="s">
        <v>1977</v>
      </c>
      <c r="BB208" s="535">
        <v>12.866756393001348</v>
      </c>
      <c r="BC208" s="534" t="s">
        <v>2006</v>
      </c>
      <c r="BD208" s="536"/>
      <c r="BE208" s="536"/>
      <c r="BF208" s="534"/>
      <c r="BG208" s="536"/>
      <c r="BH208" s="537">
        <f t="shared" si="88"/>
        <v>9.8000000000000007</v>
      </c>
      <c r="BI208" s="537">
        <f t="shared" si="89"/>
        <v>1</v>
      </c>
      <c r="BJ208" s="537">
        <f t="shared" si="90"/>
        <v>40.4</v>
      </c>
      <c r="BK208" s="537">
        <f t="shared" si="91"/>
        <v>4.4000000000000004</v>
      </c>
      <c r="BL208" s="537">
        <f t="shared" si="92"/>
        <v>9.5</v>
      </c>
      <c r="BM208" s="537">
        <f t="shared" si="93"/>
        <v>5.6</v>
      </c>
      <c r="BN208" s="537">
        <f t="shared" si="94"/>
        <v>3</v>
      </c>
      <c r="BO208" s="537">
        <f t="shared" si="95"/>
        <v>26.300000000000011</v>
      </c>
      <c r="BP208" s="537">
        <f t="shared" si="96"/>
        <v>100</v>
      </c>
      <c r="BQ208" s="534" t="s">
        <v>1979</v>
      </c>
      <c r="BR208" s="556">
        <v>8.8539999999999994E-2</v>
      </c>
      <c r="BS208" s="556">
        <v>8.8539999999999994E-2</v>
      </c>
      <c r="BT208" s="556">
        <v>1.719E-2</v>
      </c>
      <c r="BU208" s="556">
        <v>7.3859999999999995E-2</v>
      </c>
      <c r="BV208" s="556">
        <v>4.929E-2</v>
      </c>
      <c r="BW208" s="557" t="s">
        <v>2275</v>
      </c>
      <c r="BX208" s="534" t="s">
        <v>2276</v>
      </c>
      <c r="DH208" s="539" t="str">
        <f t="shared" si="97"/>
        <v>Spain</v>
      </c>
      <c r="DI208" s="539" t="str">
        <f t="shared" si="98"/>
        <v>Europe</v>
      </c>
      <c r="DJ208" s="539" t="str">
        <f t="shared" si="99"/>
        <v>Southern Europe</v>
      </c>
      <c r="DL208" s="539" t="s">
        <v>35</v>
      </c>
    </row>
    <row r="209" spans="49:116">
      <c r="AW209" s="1395" t="s">
        <v>2320</v>
      </c>
      <c r="AX209" s="1395" t="s">
        <v>2032</v>
      </c>
      <c r="AY209" s="1396" t="s">
        <v>2108</v>
      </c>
      <c r="AZ209" s="1395">
        <v>544</v>
      </c>
      <c r="BA209" s="527" t="s">
        <v>1977</v>
      </c>
      <c r="BB209" s="535">
        <v>15.436823536446809</v>
      </c>
      <c r="BC209" s="534" t="s">
        <v>2006</v>
      </c>
      <c r="BD209" s="536"/>
      <c r="BE209" s="536"/>
      <c r="BF209" s="534"/>
      <c r="BG209" s="536"/>
      <c r="BH209" s="537">
        <f t="shared" si="88"/>
        <v>9.8000000000000007</v>
      </c>
      <c r="BI209" s="537">
        <f t="shared" si="89"/>
        <v>1</v>
      </c>
      <c r="BJ209" s="537">
        <f t="shared" si="90"/>
        <v>40.4</v>
      </c>
      <c r="BK209" s="537">
        <f t="shared" si="91"/>
        <v>4.4000000000000004</v>
      </c>
      <c r="BL209" s="537">
        <f t="shared" si="92"/>
        <v>9.5</v>
      </c>
      <c r="BM209" s="537">
        <f t="shared" si="93"/>
        <v>5.6</v>
      </c>
      <c r="BN209" s="537">
        <f t="shared" si="94"/>
        <v>3</v>
      </c>
      <c r="BO209" s="537">
        <f t="shared" si="95"/>
        <v>26.300000000000011</v>
      </c>
      <c r="BP209" s="537">
        <f t="shared" si="96"/>
        <v>100</v>
      </c>
      <c r="BQ209" s="534" t="s">
        <v>1979</v>
      </c>
      <c r="BR209" s="556">
        <v>8.8539999999999994E-2</v>
      </c>
      <c r="BS209" s="556">
        <v>8.8539999999999994E-2</v>
      </c>
      <c r="BT209" s="556">
        <v>1.719E-2</v>
      </c>
      <c r="BU209" s="556">
        <v>7.3859999999999995E-2</v>
      </c>
      <c r="BV209" s="556">
        <v>4.929E-2</v>
      </c>
      <c r="BW209" s="557" t="s">
        <v>2275</v>
      </c>
      <c r="BX209" s="534" t="s">
        <v>2276</v>
      </c>
      <c r="DH209" s="539" t="str">
        <f t="shared" si="97"/>
        <v>Burkina Faso</v>
      </c>
      <c r="DI209" s="539" t="str">
        <f t="shared" si="98"/>
        <v>Africa</v>
      </c>
      <c r="DJ209" s="539" t="str">
        <f t="shared" si="99"/>
        <v>Western Africa</v>
      </c>
      <c r="DL209" s="539" t="s">
        <v>35</v>
      </c>
    </row>
    <row r="210" spans="49:116" ht="25.5">
      <c r="AW210" s="1395" t="s">
        <v>2371</v>
      </c>
      <c r="AX210" s="1395" t="s">
        <v>2032</v>
      </c>
      <c r="AY210" s="1396" t="s">
        <v>2108</v>
      </c>
      <c r="AZ210" s="1395">
        <v>436</v>
      </c>
      <c r="BA210" s="527" t="s">
        <v>1977</v>
      </c>
      <c r="BB210" s="535">
        <v>11.740747004194485</v>
      </c>
      <c r="BC210" s="534" t="s">
        <v>2263</v>
      </c>
      <c r="BD210" s="536"/>
      <c r="BE210" s="536"/>
      <c r="BF210" s="534"/>
      <c r="BG210" s="536"/>
      <c r="BH210" s="537">
        <f t="shared" si="88"/>
        <v>9.8000000000000007</v>
      </c>
      <c r="BI210" s="537">
        <f t="shared" si="89"/>
        <v>1</v>
      </c>
      <c r="BJ210" s="537">
        <f t="shared" si="90"/>
        <v>40.4</v>
      </c>
      <c r="BK210" s="537">
        <f t="shared" si="91"/>
        <v>4.4000000000000004</v>
      </c>
      <c r="BL210" s="537">
        <f t="shared" si="92"/>
        <v>9.5</v>
      </c>
      <c r="BM210" s="537">
        <f t="shared" si="93"/>
        <v>5.6</v>
      </c>
      <c r="BN210" s="537">
        <f t="shared" si="94"/>
        <v>3</v>
      </c>
      <c r="BO210" s="537">
        <f t="shared" si="95"/>
        <v>26.300000000000011</v>
      </c>
      <c r="BP210" s="537">
        <f t="shared" si="96"/>
        <v>100</v>
      </c>
      <c r="BQ210" s="534" t="s">
        <v>1979</v>
      </c>
      <c r="BR210" s="556">
        <v>8.8539999999999994E-2</v>
      </c>
      <c r="BS210" s="556">
        <v>8.8539999999999994E-2</v>
      </c>
      <c r="BT210" s="556">
        <v>1.719E-2</v>
      </c>
      <c r="BU210" s="556">
        <v>7.3859999999999995E-2</v>
      </c>
      <c r="BV210" s="556">
        <v>4.929E-2</v>
      </c>
      <c r="BW210" s="557" t="s">
        <v>2275</v>
      </c>
      <c r="BX210" s="534" t="s">
        <v>2276</v>
      </c>
      <c r="DH210" s="539" t="str">
        <f t="shared" si="97"/>
        <v>Cape Verde</v>
      </c>
      <c r="DI210" s="539" t="str">
        <f t="shared" si="98"/>
        <v>Africa</v>
      </c>
      <c r="DJ210" s="539" t="str">
        <f t="shared" si="99"/>
        <v>Western Africa</v>
      </c>
      <c r="DL210" s="539" t="s">
        <v>35</v>
      </c>
    </row>
    <row r="211" spans="49:116" ht="25.5">
      <c r="AW211" s="1395" t="s">
        <v>2468</v>
      </c>
      <c r="AX211" s="1395" t="s">
        <v>2032</v>
      </c>
      <c r="AY211" s="1396" t="s">
        <v>2108</v>
      </c>
      <c r="AZ211" s="1395">
        <v>643</v>
      </c>
      <c r="BA211" s="527" t="s">
        <v>1977</v>
      </c>
      <c r="BB211" s="535">
        <v>13.490630673342661</v>
      </c>
      <c r="BC211" s="534" t="s">
        <v>2223</v>
      </c>
      <c r="BD211" s="536"/>
      <c r="BE211" s="536"/>
      <c r="BF211" s="534"/>
      <c r="BG211" s="536"/>
      <c r="BH211" s="537">
        <f t="shared" si="88"/>
        <v>9.8000000000000007</v>
      </c>
      <c r="BI211" s="537">
        <f t="shared" si="89"/>
        <v>1</v>
      </c>
      <c r="BJ211" s="537">
        <f t="shared" si="90"/>
        <v>40.4</v>
      </c>
      <c r="BK211" s="537">
        <f t="shared" si="91"/>
        <v>4.4000000000000004</v>
      </c>
      <c r="BL211" s="537">
        <f t="shared" si="92"/>
        <v>9.5</v>
      </c>
      <c r="BM211" s="537">
        <f t="shared" si="93"/>
        <v>5.6</v>
      </c>
      <c r="BN211" s="537">
        <f t="shared" si="94"/>
        <v>3</v>
      </c>
      <c r="BO211" s="537">
        <f t="shared" si="95"/>
        <v>26.300000000000011</v>
      </c>
      <c r="BP211" s="537">
        <f t="shared" si="96"/>
        <v>100</v>
      </c>
      <c r="BQ211" s="534" t="s">
        <v>1979</v>
      </c>
      <c r="BR211" s="556">
        <v>8.8539999999999994E-2</v>
      </c>
      <c r="BS211" s="556">
        <v>8.8539999999999994E-2</v>
      </c>
      <c r="BT211" s="556">
        <v>1.719E-2</v>
      </c>
      <c r="BU211" s="556">
        <v>7.3859999999999995E-2</v>
      </c>
      <c r="BV211" s="556">
        <v>4.929E-2</v>
      </c>
      <c r="BW211" s="557" t="s">
        <v>2275</v>
      </c>
      <c r="BX211" s="534" t="s">
        <v>2276</v>
      </c>
      <c r="DH211" s="539" t="str">
        <f t="shared" si="97"/>
        <v>Côte d'Ivoire</v>
      </c>
      <c r="DI211" s="539" t="str">
        <f t="shared" si="98"/>
        <v>Africa</v>
      </c>
      <c r="DJ211" s="539" t="str">
        <f t="shared" si="99"/>
        <v>Western Africa</v>
      </c>
      <c r="DL211" s="539" t="s">
        <v>35</v>
      </c>
    </row>
    <row r="212" spans="49:116">
      <c r="AW212" s="1395" t="s">
        <v>2477</v>
      </c>
      <c r="AX212" s="1395" t="s">
        <v>2032</v>
      </c>
      <c r="AY212" s="1396" t="s">
        <v>2108</v>
      </c>
      <c r="AZ212" s="1395">
        <v>360</v>
      </c>
      <c r="BA212" s="527" t="s">
        <v>1977</v>
      </c>
      <c r="BB212" s="535">
        <v>2.0291616038882139</v>
      </c>
      <c r="BC212" s="534" t="s">
        <v>2006</v>
      </c>
      <c r="BD212" s="536"/>
      <c r="BE212" s="536"/>
      <c r="BF212" s="534"/>
      <c r="BG212" s="536"/>
      <c r="BH212" s="537">
        <f t="shared" si="88"/>
        <v>9.8000000000000007</v>
      </c>
      <c r="BI212" s="537">
        <f t="shared" si="89"/>
        <v>1</v>
      </c>
      <c r="BJ212" s="537">
        <f t="shared" si="90"/>
        <v>40.4</v>
      </c>
      <c r="BK212" s="537">
        <f t="shared" si="91"/>
        <v>4.4000000000000004</v>
      </c>
      <c r="BL212" s="537">
        <f t="shared" si="92"/>
        <v>9.5</v>
      </c>
      <c r="BM212" s="537">
        <f t="shared" si="93"/>
        <v>5.6</v>
      </c>
      <c r="BN212" s="537">
        <f t="shared" si="94"/>
        <v>3</v>
      </c>
      <c r="BO212" s="537">
        <f t="shared" si="95"/>
        <v>26.300000000000011</v>
      </c>
      <c r="BP212" s="537">
        <f t="shared" si="96"/>
        <v>100</v>
      </c>
      <c r="BQ212" s="534" t="s">
        <v>1979</v>
      </c>
      <c r="BR212" s="556">
        <v>8.8539999999999994E-2</v>
      </c>
      <c r="BS212" s="556">
        <v>8.8539999999999994E-2</v>
      </c>
      <c r="BT212" s="556">
        <v>1.719E-2</v>
      </c>
      <c r="BU212" s="556">
        <v>7.3859999999999995E-2</v>
      </c>
      <c r="BV212" s="556">
        <v>4.929E-2</v>
      </c>
      <c r="BW212" s="557" t="s">
        <v>2275</v>
      </c>
      <c r="BX212" s="534" t="s">
        <v>2276</v>
      </c>
      <c r="DH212" s="539" t="str">
        <f t="shared" si="97"/>
        <v>Gambia</v>
      </c>
      <c r="DI212" s="539" t="str">
        <f t="shared" si="98"/>
        <v>Africa</v>
      </c>
      <c r="DJ212" s="539" t="str">
        <f t="shared" si="99"/>
        <v>Western Africa</v>
      </c>
      <c r="DL212" s="539" t="s">
        <v>35</v>
      </c>
    </row>
    <row r="213" spans="49:116" ht="25.5">
      <c r="AW213" s="1395" t="s">
        <v>2504</v>
      </c>
      <c r="AX213" s="1395" t="s">
        <v>2032</v>
      </c>
      <c r="AY213" s="1396" t="s">
        <v>2108</v>
      </c>
      <c r="AZ213" s="1395">
        <v>484</v>
      </c>
      <c r="BA213" s="527" t="s">
        <v>1977</v>
      </c>
      <c r="BB213" s="535">
        <v>9.3894684857089938</v>
      </c>
      <c r="BC213" s="534" t="s">
        <v>2087</v>
      </c>
      <c r="BD213" s="536"/>
      <c r="BE213" s="536"/>
      <c r="BF213" s="534"/>
      <c r="BG213" s="536"/>
      <c r="BH213" s="537">
        <f t="shared" si="88"/>
        <v>9.8000000000000007</v>
      </c>
      <c r="BI213" s="537">
        <f t="shared" si="89"/>
        <v>1</v>
      </c>
      <c r="BJ213" s="537">
        <f t="shared" si="90"/>
        <v>40.4</v>
      </c>
      <c r="BK213" s="537">
        <f t="shared" si="91"/>
        <v>4.4000000000000004</v>
      </c>
      <c r="BL213" s="537">
        <f t="shared" si="92"/>
        <v>9.5</v>
      </c>
      <c r="BM213" s="537">
        <f t="shared" si="93"/>
        <v>5.6</v>
      </c>
      <c r="BN213" s="537">
        <f t="shared" si="94"/>
        <v>3</v>
      </c>
      <c r="BO213" s="537">
        <f t="shared" si="95"/>
        <v>26.300000000000011</v>
      </c>
      <c r="BP213" s="537">
        <f t="shared" si="96"/>
        <v>100</v>
      </c>
      <c r="BQ213" s="534" t="s">
        <v>1979</v>
      </c>
      <c r="BR213" s="556">
        <v>8.8539999999999994E-2</v>
      </c>
      <c r="BS213" s="556">
        <v>8.8539999999999994E-2</v>
      </c>
      <c r="BT213" s="556">
        <v>1.719E-2</v>
      </c>
      <c r="BU213" s="556">
        <v>7.3859999999999995E-2</v>
      </c>
      <c r="BV213" s="556">
        <v>4.929E-2</v>
      </c>
      <c r="BW213" s="557" t="s">
        <v>2275</v>
      </c>
      <c r="BX213" s="534" t="s">
        <v>2276</v>
      </c>
      <c r="DH213" s="539" t="str">
        <f t="shared" si="97"/>
        <v>Ghana</v>
      </c>
      <c r="DI213" s="539" t="str">
        <f t="shared" si="98"/>
        <v>Africa</v>
      </c>
      <c r="DJ213" s="539" t="str">
        <f t="shared" si="99"/>
        <v>Western Africa</v>
      </c>
      <c r="DL213" s="539" t="s">
        <v>35</v>
      </c>
    </row>
    <row r="214" spans="49:116">
      <c r="AW214" s="1395" t="s">
        <v>2508</v>
      </c>
      <c r="AX214" s="1395" t="s">
        <v>2032</v>
      </c>
      <c r="AY214" s="1396" t="s">
        <v>2108</v>
      </c>
      <c r="AZ214" s="1395">
        <v>656</v>
      </c>
      <c r="BA214" s="527" t="s">
        <v>1977</v>
      </c>
      <c r="BB214" s="535">
        <v>2.456902902607927</v>
      </c>
      <c r="BC214" s="534" t="s">
        <v>2006</v>
      </c>
      <c r="BD214" s="536"/>
      <c r="BE214" s="536"/>
      <c r="BF214" s="534"/>
      <c r="BG214" s="536"/>
      <c r="BH214" s="537">
        <f t="shared" si="88"/>
        <v>9.8000000000000007</v>
      </c>
      <c r="BI214" s="537">
        <f t="shared" si="89"/>
        <v>1</v>
      </c>
      <c r="BJ214" s="537">
        <f t="shared" si="90"/>
        <v>40.4</v>
      </c>
      <c r="BK214" s="537">
        <f t="shared" si="91"/>
        <v>4.4000000000000004</v>
      </c>
      <c r="BL214" s="537">
        <f t="shared" si="92"/>
        <v>9.5</v>
      </c>
      <c r="BM214" s="537">
        <f t="shared" si="93"/>
        <v>5.6</v>
      </c>
      <c r="BN214" s="537">
        <f t="shared" si="94"/>
        <v>3</v>
      </c>
      <c r="BO214" s="537">
        <f t="shared" si="95"/>
        <v>26.300000000000011</v>
      </c>
      <c r="BP214" s="537">
        <f t="shared" si="96"/>
        <v>100</v>
      </c>
      <c r="BQ214" s="534" t="s">
        <v>1979</v>
      </c>
      <c r="BR214" s="556">
        <v>8.8539999999999994E-2</v>
      </c>
      <c r="BS214" s="556">
        <v>8.8539999999999994E-2</v>
      </c>
      <c r="BT214" s="556">
        <v>1.719E-2</v>
      </c>
      <c r="BU214" s="556">
        <v>7.3859999999999995E-2</v>
      </c>
      <c r="BV214" s="556">
        <v>4.929E-2</v>
      </c>
      <c r="BW214" s="557" t="s">
        <v>2275</v>
      </c>
      <c r="BX214" s="534" t="s">
        <v>2276</v>
      </c>
      <c r="DH214" s="539" t="str">
        <f t="shared" si="97"/>
        <v>Guinea</v>
      </c>
      <c r="DI214" s="539" t="str">
        <f t="shared" si="98"/>
        <v>Africa</v>
      </c>
      <c r="DJ214" s="539" t="str">
        <f t="shared" si="99"/>
        <v>Western Africa</v>
      </c>
      <c r="DL214" s="539" t="s">
        <v>35</v>
      </c>
    </row>
    <row r="215" spans="49:116">
      <c r="AW215" s="1395" t="s">
        <v>2613</v>
      </c>
      <c r="AX215" s="1395" t="s">
        <v>2032</v>
      </c>
      <c r="AY215" s="1396" t="s">
        <v>2108</v>
      </c>
      <c r="AZ215" s="1395">
        <v>407</v>
      </c>
      <c r="BA215" s="527" t="s">
        <v>1977</v>
      </c>
      <c r="BB215" s="535">
        <v>4.7835460001165302</v>
      </c>
      <c r="BC215" s="534" t="s">
        <v>2006</v>
      </c>
      <c r="BD215" s="536"/>
      <c r="BE215" s="536"/>
      <c r="BF215" s="534"/>
      <c r="BG215" s="536"/>
      <c r="BH215" s="537">
        <f t="shared" si="88"/>
        <v>9.8000000000000007</v>
      </c>
      <c r="BI215" s="537">
        <f t="shared" si="89"/>
        <v>1</v>
      </c>
      <c r="BJ215" s="537">
        <f t="shared" si="90"/>
        <v>40.4</v>
      </c>
      <c r="BK215" s="537">
        <f t="shared" si="91"/>
        <v>4.4000000000000004</v>
      </c>
      <c r="BL215" s="537">
        <f t="shared" si="92"/>
        <v>9.5</v>
      </c>
      <c r="BM215" s="537">
        <f t="shared" si="93"/>
        <v>5.6</v>
      </c>
      <c r="BN215" s="537">
        <f t="shared" si="94"/>
        <v>3</v>
      </c>
      <c r="BO215" s="537">
        <f t="shared" si="95"/>
        <v>26.300000000000011</v>
      </c>
      <c r="BP215" s="537">
        <f t="shared" si="96"/>
        <v>100</v>
      </c>
      <c r="BQ215" s="534" t="s">
        <v>1979</v>
      </c>
      <c r="BR215" s="556">
        <v>8.8539999999999994E-2</v>
      </c>
      <c r="BS215" s="556">
        <v>8.8539999999999994E-2</v>
      </c>
      <c r="BT215" s="556">
        <v>1.719E-2</v>
      </c>
      <c r="BU215" s="556">
        <v>7.3859999999999995E-2</v>
      </c>
      <c r="BV215" s="556">
        <v>4.929E-2</v>
      </c>
      <c r="BW215" s="557" t="s">
        <v>2275</v>
      </c>
      <c r="BX215" s="534" t="s">
        <v>2276</v>
      </c>
      <c r="DH215" s="539" t="str">
        <f t="shared" si="97"/>
        <v>Guinea-Bissau</v>
      </c>
      <c r="DI215" s="539" t="str">
        <f t="shared" si="98"/>
        <v>Africa</v>
      </c>
      <c r="DJ215" s="539" t="str">
        <f t="shared" si="99"/>
        <v>Western Africa</v>
      </c>
      <c r="DK215" s="539" t="e">
        <f>VLOOKUP(DH215,#REF!,1)</f>
        <v>#REF!</v>
      </c>
      <c r="DL215" s="539" t="e">
        <f>VLOOKUP(DK215,#REF!,2,FALSE)</f>
        <v>#REF!</v>
      </c>
    </row>
    <row r="216" spans="49:116" ht="25.5">
      <c r="AW216" s="1395" t="s">
        <v>2647</v>
      </c>
      <c r="AX216" s="1395" t="s">
        <v>2032</v>
      </c>
      <c r="AY216" s="1396" t="s">
        <v>2108</v>
      </c>
      <c r="AZ216" s="1395">
        <v>550</v>
      </c>
      <c r="BA216" s="527" t="s">
        <v>1977</v>
      </c>
      <c r="BB216" s="535">
        <v>5.4123414965002699</v>
      </c>
      <c r="BC216" s="534" t="s">
        <v>2049</v>
      </c>
      <c r="BD216" s="536"/>
      <c r="BE216" s="536"/>
      <c r="BF216" s="534"/>
      <c r="BG216" s="536"/>
      <c r="BH216" s="537">
        <f t="shared" si="88"/>
        <v>9.8000000000000007</v>
      </c>
      <c r="BI216" s="537">
        <f t="shared" si="89"/>
        <v>1</v>
      </c>
      <c r="BJ216" s="537">
        <f t="shared" si="90"/>
        <v>40.4</v>
      </c>
      <c r="BK216" s="537">
        <f t="shared" si="91"/>
        <v>4.4000000000000004</v>
      </c>
      <c r="BL216" s="537">
        <f t="shared" si="92"/>
        <v>9.5</v>
      </c>
      <c r="BM216" s="537">
        <f t="shared" si="93"/>
        <v>5.6</v>
      </c>
      <c r="BN216" s="537">
        <f t="shared" si="94"/>
        <v>3</v>
      </c>
      <c r="BO216" s="537">
        <f t="shared" si="95"/>
        <v>26.300000000000011</v>
      </c>
      <c r="BP216" s="537">
        <f t="shared" si="96"/>
        <v>100</v>
      </c>
      <c r="BQ216" s="534" t="s">
        <v>1979</v>
      </c>
      <c r="BR216" s="556">
        <v>8.8539999999999994E-2</v>
      </c>
      <c r="BS216" s="556">
        <v>8.8539999999999994E-2</v>
      </c>
      <c r="BT216" s="556">
        <v>1.719E-2</v>
      </c>
      <c r="BU216" s="556">
        <v>7.3859999999999995E-2</v>
      </c>
      <c r="BV216" s="556">
        <v>4.929E-2</v>
      </c>
      <c r="BW216" s="557" t="s">
        <v>2275</v>
      </c>
      <c r="BX216" s="534" t="s">
        <v>2276</v>
      </c>
      <c r="DH216" s="539" t="str">
        <f t="shared" si="97"/>
        <v>Liberia</v>
      </c>
      <c r="DI216" s="539" t="str">
        <f t="shared" si="98"/>
        <v>Africa</v>
      </c>
      <c r="DJ216" s="539" t="str">
        <f t="shared" si="99"/>
        <v>Western Africa</v>
      </c>
      <c r="DK216" s="539" t="e">
        <f>VLOOKUP(DH216,#REF!,1)</f>
        <v>#REF!</v>
      </c>
      <c r="DL216" s="539" t="e">
        <f>VLOOKUP(DK216,#REF!,2,FALSE)</f>
        <v>#REF!</v>
      </c>
    </row>
    <row r="217" spans="49:116" ht="25.5">
      <c r="AW217" s="1395" t="s">
        <v>2659</v>
      </c>
      <c r="AX217" s="1395" t="s">
        <v>2032</v>
      </c>
      <c r="AY217" s="1396" t="s">
        <v>2108</v>
      </c>
      <c r="AZ217" s="1395">
        <v>512</v>
      </c>
      <c r="BA217" s="527" t="s">
        <v>1977</v>
      </c>
      <c r="BB217" s="535">
        <v>13.490630673342661</v>
      </c>
      <c r="BC217" s="534" t="s">
        <v>2223</v>
      </c>
      <c r="BD217" s="536"/>
      <c r="BE217" s="536"/>
      <c r="BF217" s="534"/>
      <c r="BG217" s="536"/>
      <c r="BH217" s="537">
        <f t="shared" si="88"/>
        <v>9.8000000000000007</v>
      </c>
      <c r="BI217" s="537">
        <f t="shared" si="89"/>
        <v>1</v>
      </c>
      <c r="BJ217" s="537">
        <f t="shared" si="90"/>
        <v>40.4</v>
      </c>
      <c r="BK217" s="537">
        <f t="shared" si="91"/>
        <v>4.4000000000000004</v>
      </c>
      <c r="BL217" s="537">
        <f t="shared" si="92"/>
        <v>9.5</v>
      </c>
      <c r="BM217" s="537">
        <f t="shared" si="93"/>
        <v>5.6</v>
      </c>
      <c r="BN217" s="537">
        <f t="shared" si="94"/>
        <v>3</v>
      </c>
      <c r="BO217" s="537">
        <f t="shared" si="95"/>
        <v>26.300000000000011</v>
      </c>
      <c r="BP217" s="537">
        <f t="shared" si="96"/>
        <v>100</v>
      </c>
      <c r="BQ217" s="534" t="s">
        <v>1979</v>
      </c>
      <c r="BR217" s="556">
        <v>8.8539999999999994E-2</v>
      </c>
      <c r="BS217" s="556">
        <v>8.8539999999999994E-2</v>
      </c>
      <c r="BT217" s="556">
        <v>1.719E-2</v>
      </c>
      <c r="BU217" s="556">
        <v>7.3859999999999995E-2</v>
      </c>
      <c r="BV217" s="556">
        <v>4.929E-2</v>
      </c>
      <c r="BW217" s="557" t="s">
        <v>2275</v>
      </c>
      <c r="BX217" s="534" t="s">
        <v>2276</v>
      </c>
      <c r="DH217" s="539" t="str">
        <f t="shared" si="97"/>
        <v>Mali</v>
      </c>
      <c r="DI217" s="539" t="str">
        <f t="shared" si="98"/>
        <v>Africa</v>
      </c>
      <c r="DJ217" s="539" t="str">
        <f t="shared" si="99"/>
        <v>Western Africa</v>
      </c>
      <c r="DL217" s="539" t="s">
        <v>35</v>
      </c>
    </row>
    <row r="218" spans="49:116">
      <c r="AW218" s="1395" t="s">
        <v>2690</v>
      </c>
      <c r="AX218" s="1395" t="s">
        <v>2032</v>
      </c>
      <c r="AY218" s="1396" t="s">
        <v>2108</v>
      </c>
      <c r="AZ218" s="1395">
        <v>749</v>
      </c>
      <c r="BA218" s="527" t="s">
        <v>1977</v>
      </c>
      <c r="BB218" s="535">
        <v>8.393761198696442</v>
      </c>
      <c r="BC218" s="534" t="s">
        <v>2006</v>
      </c>
      <c r="BD218" s="536"/>
      <c r="BE218" s="536"/>
      <c r="BF218" s="534"/>
      <c r="BG218" s="536"/>
      <c r="BH218" s="537">
        <f t="shared" si="88"/>
        <v>9.8000000000000007</v>
      </c>
      <c r="BI218" s="537">
        <f t="shared" si="89"/>
        <v>1</v>
      </c>
      <c r="BJ218" s="537">
        <f t="shared" si="90"/>
        <v>40.4</v>
      </c>
      <c r="BK218" s="537">
        <f t="shared" si="91"/>
        <v>4.4000000000000004</v>
      </c>
      <c r="BL218" s="537">
        <f t="shared" si="92"/>
        <v>9.5</v>
      </c>
      <c r="BM218" s="537">
        <f t="shared" si="93"/>
        <v>5.6</v>
      </c>
      <c r="BN218" s="537">
        <f t="shared" si="94"/>
        <v>3</v>
      </c>
      <c r="BO218" s="537">
        <f t="shared" si="95"/>
        <v>26.300000000000011</v>
      </c>
      <c r="BP218" s="537">
        <f t="shared" si="96"/>
        <v>100</v>
      </c>
      <c r="BQ218" s="534" t="s">
        <v>1979</v>
      </c>
      <c r="BR218" s="556">
        <v>8.8539999999999994E-2</v>
      </c>
      <c r="BS218" s="556">
        <v>8.8539999999999994E-2</v>
      </c>
      <c r="BT218" s="556">
        <v>1.719E-2</v>
      </c>
      <c r="BU218" s="556">
        <v>7.3859999999999995E-2</v>
      </c>
      <c r="BV218" s="556">
        <v>4.929E-2</v>
      </c>
      <c r="BW218" s="557" t="s">
        <v>2275</v>
      </c>
      <c r="BX218" s="534" t="s">
        <v>2276</v>
      </c>
      <c r="DH218" s="539" t="str">
        <f t="shared" si="97"/>
        <v>Mauritania</v>
      </c>
      <c r="DI218" s="539" t="str">
        <f t="shared" si="98"/>
        <v>Africa</v>
      </c>
      <c r="DJ218" s="539" t="str">
        <f t="shared" si="99"/>
        <v>Western Africa</v>
      </c>
      <c r="DL218" s="539" t="s">
        <v>35</v>
      </c>
    </row>
    <row r="219" spans="49:116">
      <c r="AW219" s="1395" t="s">
        <v>2691</v>
      </c>
      <c r="AX219" s="1395" t="s">
        <v>2032</v>
      </c>
      <c r="AY219" s="1396" t="s">
        <v>2108</v>
      </c>
      <c r="AZ219" s="1395">
        <v>395</v>
      </c>
      <c r="BA219" s="527" t="s">
        <v>1977</v>
      </c>
      <c r="BB219" s="535">
        <v>5.7377049180327866</v>
      </c>
      <c r="BC219" s="534" t="s">
        <v>2006</v>
      </c>
      <c r="BD219" s="536"/>
      <c r="BE219" s="536"/>
      <c r="BF219" s="534"/>
      <c r="BG219" s="536"/>
      <c r="BH219" s="537">
        <f t="shared" si="88"/>
        <v>9.8000000000000007</v>
      </c>
      <c r="BI219" s="537">
        <f t="shared" si="89"/>
        <v>1</v>
      </c>
      <c r="BJ219" s="537">
        <f t="shared" si="90"/>
        <v>40.4</v>
      </c>
      <c r="BK219" s="537">
        <f t="shared" si="91"/>
        <v>4.4000000000000004</v>
      </c>
      <c r="BL219" s="537">
        <f t="shared" si="92"/>
        <v>9.5</v>
      </c>
      <c r="BM219" s="537">
        <f t="shared" si="93"/>
        <v>5.6</v>
      </c>
      <c r="BN219" s="537">
        <f t="shared" si="94"/>
        <v>3</v>
      </c>
      <c r="BO219" s="537">
        <f t="shared" si="95"/>
        <v>26.300000000000011</v>
      </c>
      <c r="BP219" s="537">
        <f t="shared" si="96"/>
        <v>100</v>
      </c>
      <c r="BQ219" s="534" t="s">
        <v>1979</v>
      </c>
      <c r="BR219" s="556">
        <v>8.8539999999999994E-2</v>
      </c>
      <c r="BS219" s="556">
        <v>8.8539999999999994E-2</v>
      </c>
      <c r="BT219" s="556">
        <v>1.719E-2</v>
      </c>
      <c r="BU219" s="556">
        <v>7.3859999999999995E-2</v>
      </c>
      <c r="BV219" s="556">
        <v>4.929E-2</v>
      </c>
      <c r="BW219" s="557" t="s">
        <v>2275</v>
      </c>
      <c r="BX219" s="534" t="s">
        <v>2276</v>
      </c>
      <c r="DH219" s="539" t="str">
        <f t="shared" si="97"/>
        <v>Niger</v>
      </c>
      <c r="DI219" s="539" t="str">
        <f t="shared" si="98"/>
        <v>Africa</v>
      </c>
      <c r="DJ219" s="539" t="str">
        <f t="shared" si="99"/>
        <v>Western Africa</v>
      </c>
      <c r="DL219" s="539" t="s">
        <v>35</v>
      </c>
    </row>
    <row r="220" spans="49:116">
      <c r="AW220" s="1395" t="s">
        <v>2708</v>
      </c>
      <c r="AX220" s="1395" t="s">
        <v>2032</v>
      </c>
      <c r="AY220" s="1396" t="s">
        <v>2108</v>
      </c>
      <c r="AZ220" s="1395">
        <v>310</v>
      </c>
      <c r="BA220" s="527" t="s">
        <v>1977</v>
      </c>
      <c r="BB220" s="535">
        <v>9.5992347671750036</v>
      </c>
      <c r="BC220" s="534" t="s">
        <v>2006</v>
      </c>
      <c r="BD220" s="536"/>
      <c r="BE220" s="536"/>
      <c r="BF220" s="534"/>
      <c r="BG220" s="536"/>
      <c r="BH220" s="537">
        <f t="shared" si="88"/>
        <v>9.8000000000000007</v>
      </c>
      <c r="BI220" s="537">
        <f t="shared" si="89"/>
        <v>1</v>
      </c>
      <c r="BJ220" s="537">
        <f t="shared" si="90"/>
        <v>40.4</v>
      </c>
      <c r="BK220" s="537">
        <f t="shared" si="91"/>
        <v>4.4000000000000004</v>
      </c>
      <c r="BL220" s="537">
        <f t="shared" si="92"/>
        <v>9.5</v>
      </c>
      <c r="BM220" s="537">
        <f t="shared" si="93"/>
        <v>5.6</v>
      </c>
      <c r="BN220" s="537">
        <f t="shared" si="94"/>
        <v>3</v>
      </c>
      <c r="BO220" s="537">
        <f t="shared" si="95"/>
        <v>26.300000000000011</v>
      </c>
      <c r="BP220" s="537">
        <f t="shared" si="96"/>
        <v>100</v>
      </c>
      <c r="BQ220" s="534" t="s">
        <v>1979</v>
      </c>
      <c r="BR220" s="556">
        <v>8.8539999999999994E-2</v>
      </c>
      <c r="BS220" s="556">
        <v>8.8539999999999994E-2</v>
      </c>
      <c r="BT220" s="556">
        <v>1.719E-2</v>
      </c>
      <c r="BU220" s="556">
        <v>7.3859999999999995E-2</v>
      </c>
      <c r="BV220" s="556">
        <v>4.929E-2</v>
      </c>
      <c r="BW220" s="557" t="s">
        <v>2275</v>
      </c>
      <c r="BX220" s="534" t="s">
        <v>2276</v>
      </c>
      <c r="DH220" s="539" t="str">
        <f t="shared" si="97"/>
        <v>Nigeria</v>
      </c>
      <c r="DI220" s="539" t="str">
        <f t="shared" si="98"/>
        <v>Africa</v>
      </c>
      <c r="DJ220" s="539" t="str">
        <f t="shared" si="99"/>
        <v>Western Africa</v>
      </c>
      <c r="DL220" s="539" t="s">
        <v>35</v>
      </c>
    </row>
    <row r="221" spans="49:116">
      <c r="AW221" s="1395" t="s">
        <v>2718</v>
      </c>
      <c r="AX221" s="1395" t="s">
        <v>2032</v>
      </c>
      <c r="AY221" s="1396" t="s">
        <v>2108</v>
      </c>
      <c r="AZ221" s="1395">
        <v>568</v>
      </c>
      <c r="BA221" s="527" t="s">
        <v>1977</v>
      </c>
      <c r="BB221" s="535">
        <v>11.443704357595699</v>
      </c>
      <c r="BC221" s="534" t="s">
        <v>2006</v>
      </c>
      <c r="BD221" s="536"/>
      <c r="BE221" s="536"/>
      <c r="BF221" s="534"/>
      <c r="BG221" s="536"/>
      <c r="BH221" s="537">
        <f t="shared" si="88"/>
        <v>9.8000000000000007</v>
      </c>
      <c r="BI221" s="537">
        <f t="shared" si="89"/>
        <v>1</v>
      </c>
      <c r="BJ221" s="537">
        <f t="shared" si="90"/>
        <v>40.4</v>
      </c>
      <c r="BK221" s="537">
        <f t="shared" si="91"/>
        <v>4.4000000000000004</v>
      </c>
      <c r="BL221" s="537">
        <f t="shared" si="92"/>
        <v>9.5</v>
      </c>
      <c r="BM221" s="537">
        <f t="shared" si="93"/>
        <v>5.6</v>
      </c>
      <c r="BN221" s="537">
        <f t="shared" si="94"/>
        <v>3</v>
      </c>
      <c r="BO221" s="537">
        <f t="shared" si="95"/>
        <v>26.300000000000011</v>
      </c>
      <c r="BP221" s="537">
        <f t="shared" si="96"/>
        <v>100</v>
      </c>
      <c r="BQ221" s="534" t="s">
        <v>1979</v>
      </c>
      <c r="BR221" s="556">
        <v>8.8539999999999994E-2</v>
      </c>
      <c r="BS221" s="556">
        <v>8.8539999999999994E-2</v>
      </c>
      <c r="BT221" s="556">
        <v>1.719E-2</v>
      </c>
      <c r="BU221" s="556">
        <v>7.3859999999999995E-2</v>
      </c>
      <c r="BV221" s="556">
        <v>4.929E-2</v>
      </c>
      <c r="BW221" s="557" t="s">
        <v>2275</v>
      </c>
      <c r="BX221" s="534" t="s">
        <v>2276</v>
      </c>
      <c r="DH221" s="539" t="str">
        <f t="shared" si="97"/>
        <v>Saint Helena (U.K.)</v>
      </c>
      <c r="DI221" s="539" t="str">
        <f t="shared" si="98"/>
        <v>Africa</v>
      </c>
      <c r="DJ221" s="539" t="str">
        <f t="shared" si="99"/>
        <v>Western Africa</v>
      </c>
      <c r="DK221" s="539" t="e">
        <f>VLOOKUP(DH221,#REF!,1)</f>
        <v>#REF!</v>
      </c>
      <c r="DL221" s="539" t="e">
        <f>VLOOKUP(DK221,#REF!,2,FALSE)</f>
        <v>#REF!</v>
      </c>
    </row>
    <row r="222" spans="49:116">
      <c r="AW222" s="1395" t="s">
        <v>2721</v>
      </c>
      <c r="AX222" s="1395" t="s">
        <v>2032</v>
      </c>
      <c r="AY222" s="1396" t="s">
        <v>2108</v>
      </c>
      <c r="AZ222" s="1395">
        <v>455</v>
      </c>
      <c r="BA222" s="527" t="s">
        <v>1977</v>
      </c>
      <c r="BB222" s="535">
        <v>14.284458509142054</v>
      </c>
      <c r="BC222" s="534" t="s">
        <v>2006</v>
      </c>
      <c r="BD222" s="536"/>
      <c r="BE222" s="536"/>
      <c r="BF222" s="534"/>
      <c r="BG222" s="536"/>
      <c r="BH222" s="537">
        <f t="shared" si="88"/>
        <v>9.8000000000000007</v>
      </c>
      <c r="BI222" s="537">
        <f t="shared" si="89"/>
        <v>1</v>
      </c>
      <c r="BJ222" s="537">
        <f t="shared" si="90"/>
        <v>40.4</v>
      </c>
      <c r="BK222" s="537">
        <f t="shared" si="91"/>
        <v>4.4000000000000004</v>
      </c>
      <c r="BL222" s="537">
        <f t="shared" si="92"/>
        <v>9.5</v>
      </c>
      <c r="BM222" s="537">
        <f t="shared" si="93"/>
        <v>5.6</v>
      </c>
      <c r="BN222" s="537">
        <f t="shared" si="94"/>
        <v>3</v>
      </c>
      <c r="BO222" s="537">
        <f t="shared" si="95"/>
        <v>26.300000000000011</v>
      </c>
      <c r="BP222" s="537">
        <f t="shared" si="96"/>
        <v>100</v>
      </c>
      <c r="BQ222" s="534" t="s">
        <v>1979</v>
      </c>
      <c r="BR222" s="556">
        <v>8.8539999999999994E-2</v>
      </c>
      <c r="BS222" s="556">
        <v>8.8539999999999994E-2</v>
      </c>
      <c r="BT222" s="556">
        <v>1.719E-2</v>
      </c>
      <c r="BU222" s="556">
        <v>7.3859999999999995E-2</v>
      </c>
      <c r="BV222" s="556">
        <v>4.929E-2</v>
      </c>
      <c r="BW222" s="557" t="s">
        <v>2275</v>
      </c>
      <c r="BX222" s="534" t="s">
        <v>2276</v>
      </c>
      <c r="DH222" s="539" t="str">
        <f t="shared" si="97"/>
        <v>Senegal</v>
      </c>
      <c r="DI222" s="539" t="str">
        <f t="shared" si="98"/>
        <v>Africa</v>
      </c>
      <c r="DJ222" s="539" t="str">
        <f t="shared" si="99"/>
        <v>Western Africa</v>
      </c>
      <c r="DL222" s="539" t="s">
        <v>35</v>
      </c>
    </row>
    <row r="223" spans="49:116">
      <c r="AW223" s="1395" t="s">
        <v>2739</v>
      </c>
      <c r="AX223" s="1395" t="s">
        <v>2032</v>
      </c>
      <c r="AY223" s="1396" t="s">
        <v>2108</v>
      </c>
      <c r="AZ223" s="1395">
        <v>341</v>
      </c>
      <c r="BA223" s="527" t="s">
        <v>1977</v>
      </c>
      <c r="BB223" s="535">
        <v>8.7155963302752291</v>
      </c>
      <c r="BC223" s="534" t="s">
        <v>2006</v>
      </c>
      <c r="BD223" s="536"/>
      <c r="BE223" s="536"/>
      <c r="BF223" s="534"/>
      <c r="BG223" s="536"/>
      <c r="BH223" s="537">
        <f t="shared" si="88"/>
        <v>9.8000000000000007</v>
      </c>
      <c r="BI223" s="537">
        <f t="shared" si="89"/>
        <v>1</v>
      </c>
      <c r="BJ223" s="537">
        <f t="shared" si="90"/>
        <v>40.4</v>
      </c>
      <c r="BK223" s="537">
        <f t="shared" si="91"/>
        <v>4.4000000000000004</v>
      </c>
      <c r="BL223" s="537">
        <f t="shared" si="92"/>
        <v>9.5</v>
      </c>
      <c r="BM223" s="537">
        <f t="shared" si="93"/>
        <v>5.6</v>
      </c>
      <c r="BN223" s="537">
        <f t="shared" si="94"/>
        <v>3</v>
      </c>
      <c r="BO223" s="537">
        <f t="shared" si="95"/>
        <v>26.300000000000011</v>
      </c>
      <c r="BP223" s="537">
        <f t="shared" si="96"/>
        <v>100</v>
      </c>
      <c r="BQ223" s="534" t="s">
        <v>1979</v>
      </c>
      <c r="BR223" s="556">
        <v>8.8539999999999994E-2</v>
      </c>
      <c r="BS223" s="556">
        <v>8.8539999999999994E-2</v>
      </c>
      <c r="BT223" s="556">
        <v>1.719E-2</v>
      </c>
      <c r="BU223" s="556">
        <v>7.3859999999999995E-2</v>
      </c>
      <c r="BV223" s="556">
        <v>4.929E-2</v>
      </c>
      <c r="BW223" s="557" t="s">
        <v>2275</v>
      </c>
      <c r="BX223" s="534" t="s">
        <v>2276</v>
      </c>
      <c r="DH223" s="539" t="str">
        <f t="shared" si="97"/>
        <v>Sierra Leone</v>
      </c>
      <c r="DI223" s="539" t="str">
        <f t="shared" si="98"/>
        <v>Africa</v>
      </c>
      <c r="DJ223" s="539" t="str">
        <f t="shared" si="99"/>
        <v>Western Africa</v>
      </c>
      <c r="DL223" s="539" t="s">
        <v>35</v>
      </c>
    </row>
    <row r="224" spans="49:116">
      <c r="AW224" s="1395" t="s">
        <v>2387</v>
      </c>
      <c r="AX224" s="1395" t="s">
        <v>1976</v>
      </c>
      <c r="AY224" s="1396" t="s">
        <v>2050</v>
      </c>
      <c r="AZ224" s="1395">
        <v>676.9</v>
      </c>
      <c r="BA224" s="527" t="s">
        <v>2178</v>
      </c>
      <c r="BB224" s="535">
        <v>4.7761699467288379</v>
      </c>
      <c r="BC224" s="534" t="s">
        <v>2006</v>
      </c>
      <c r="BD224" s="536"/>
      <c r="BE224" s="536"/>
      <c r="BF224" s="534"/>
      <c r="BG224" s="536"/>
      <c r="BH224" s="537">
        <f t="shared" ref="BH224:BH255" si="100">+VLOOKUP($AY224,$BZ$3:$CH$21,2,FALSE)</f>
        <v>18</v>
      </c>
      <c r="BI224" s="537">
        <f t="shared" ref="BI224:BI255" si="101">+VLOOKUP($AY224,$BZ$3:$CH$21,3,FALSE)</f>
        <v>2.9</v>
      </c>
      <c r="BJ224" s="537">
        <f t="shared" ref="BJ224:BJ255" si="102">+VLOOKUP($AY224,$BZ$3:$CH$21,4,FALSE)</f>
        <v>41.1</v>
      </c>
      <c r="BK224" s="537">
        <f t="shared" ref="BK224:BK255" si="103">+VLOOKUP($AY224,$BZ$3:$CH$21,5,FALSE)</f>
        <v>9.8000000000000007</v>
      </c>
      <c r="BL224" s="537">
        <f t="shared" ref="BL224:BL255" si="104">+VLOOKUP($AY224,$BZ$3:$CH$21,6,FALSE)</f>
        <v>9.5</v>
      </c>
      <c r="BM224" s="537">
        <f t="shared" ref="BM224:BM255" si="105">+VLOOKUP($AY224,$BZ$3:$CH$21,7,FALSE)</f>
        <v>5.6</v>
      </c>
      <c r="BN224" s="537">
        <f t="shared" ref="BN224:BN255" si="106">+VLOOKUP($AY224,$BZ$3:$CH$21,8,FALSE)</f>
        <v>6.3</v>
      </c>
      <c r="BO224" s="537">
        <f t="shared" ref="BO224:BO255" si="107">+VLOOKUP($AY224,$BZ$3:$CH$21,9,FALSE)</f>
        <v>6.8000000000000114</v>
      </c>
      <c r="BP224" s="537">
        <f t="shared" si="96"/>
        <v>100</v>
      </c>
      <c r="BQ224" s="534" t="s">
        <v>1979</v>
      </c>
      <c r="BR224" s="556">
        <v>8.8539999999999994E-2</v>
      </c>
      <c r="BS224" s="556">
        <v>8.8539999999999994E-2</v>
      </c>
      <c r="BT224" s="556">
        <v>1.719E-2</v>
      </c>
      <c r="BU224" s="556">
        <v>7.3859999999999995E-2</v>
      </c>
      <c r="BV224" s="556">
        <v>4.929E-2</v>
      </c>
      <c r="BW224" s="557" t="s">
        <v>2275</v>
      </c>
      <c r="BX224" s="534" t="s">
        <v>2276</v>
      </c>
      <c r="DH224" s="539" t="str">
        <f t="shared" si="97"/>
        <v>Togo</v>
      </c>
      <c r="DI224" s="539" t="str">
        <f t="shared" si="98"/>
        <v>Africa</v>
      </c>
      <c r="DJ224" s="539" t="str">
        <f t="shared" si="99"/>
        <v>Western Africa</v>
      </c>
      <c r="DL224" s="539" t="s">
        <v>35</v>
      </c>
    </row>
    <row r="225" spans="49:116">
      <c r="AW225" s="1395" t="s">
        <v>5</v>
      </c>
      <c r="AX225" s="1395" t="s">
        <v>1976</v>
      </c>
      <c r="AY225" s="1396" t="s">
        <v>2050</v>
      </c>
      <c r="AZ225" s="1395">
        <v>195</v>
      </c>
      <c r="BA225" s="527" t="s">
        <v>1977</v>
      </c>
      <c r="BB225" s="535">
        <v>6.6988103049841667</v>
      </c>
      <c r="BC225" s="534" t="s">
        <v>2006</v>
      </c>
      <c r="BD225" s="536"/>
      <c r="BE225" s="536"/>
      <c r="BF225" s="534"/>
      <c r="BG225" s="536"/>
      <c r="BH225" s="537">
        <f t="shared" si="100"/>
        <v>18</v>
      </c>
      <c r="BI225" s="537">
        <f t="shared" si="101"/>
        <v>2.9</v>
      </c>
      <c r="BJ225" s="537">
        <f t="shared" si="102"/>
        <v>41.1</v>
      </c>
      <c r="BK225" s="537">
        <f t="shared" si="103"/>
        <v>9.8000000000000007</v>
      </c>
      <c r="BL225" s="537">
        <f t="shared" si="104"/>
        <v>9.5</v>
      </c>
      <c r="BM225" s="537">
        <f t="shared" si="105"/>
        <v>5.6</v>
      </c>
      <c r="BN225" s="537">
        <f t="shared" si="106"/>
        <v>6.3</v>
      </c>
      <c r="BO225" s="537">
        <f t="shared" si="107"/>
        <v>6.8000000000000114</v>
      </c>
      <c r="BP225" s="537">
        <f t="shared" si="96"/>
        <v>100</v>
      </c>
      <c r="BQ225" s="534" t="s">
        <v>1979</v>
      </c>
      <c r="BR225" s="556">
        <v>8.8539999999999994E-2</v>
      </c>
      <c r="BS225" s="556">
        <v>8.8539999999999994E-2</v>
      </c>
      <c r="BT225" s="556">
        <v>1.719E-2</v>
      </c>
      <c r="BU225" s="556">
        <v>7.3859999999999995E-2</v>
      </c>
      <c r="BV225" s="556">
        <v>4.929E-2</v>
      </c>
      <c r="BW225" s="557" t="s">
        <v>2275</v>
      </c>
      <c r="BX225" s="534" t="s">
        <v>2276</v>
      </c>
      <c r="DH225" s="539" t="str">
        <f t="shared" si="97"/>
        <v>Cyprus</v>
      </c>
      <c r="DI225" s="539" t="str">
        <f t="shared" si="98"/>
        <v>Asia</v>
      </c>
      <c r="DJ225" s="539" t="str">
        <f t="shared" si="99"/>
        <v>Western Asia &amp; Middle East</v>
      </c>
      <c r="DK225" s="539" t="e">
        <f>VLOOKUP(DH225,#REF!,1)</f>
        <v>#REF!</v>
      </c>
      <c r="DL225" s="539" t="e">
        <f>VLOOKUP(DK225,#REF!,2,FALSE)</f>
        <v>#REF!</v>
      </c>
    </row>
    <row r="226" spans="49:116">
      <c r="AW226" s="1395" t="s">
        <v>2541</v>
      </c>
      <c r="AX226" s="1395" t="s">
        <v>1976</v>
      </c>
      <c r="AY226" s="1396" t="s">
        <v>2050</v>
      </c>
      <c r="AZ226" s="1395">
        <v>470</v>
      </c>
      <c r="BA226" s="527" t="s">
        <v>1977</v>
      </c>
      <c r="BB226" s="535">
        <v>15.915887406844828</v>
      </c>
      <c r="BC226" s="534" t="s">
        <v>2006</v>
      </c>
      <c r="BD226" s="536"/>
      <c r="BE226" s="536"/>
      <c r="BF226" s="534"/>
      <c r="BG226" s="536"/>
      <c r="BH226" s="537">
        <f t="shared" si="100"/>
        <v>18</v>
      </c>
      <c r="BI226" s="537">
        <f t="shared" si="101"/>
        <v>2.9</v>
      </c>
      <c r="BJ226" s="537">
        <f t="shared" si="102"/>
        <v>41.1</v>
      </c>
      <c r="BK226" s="537">
        <f t="shared" si="103"/>
        <v>9.8000000000000007</v>
      </c>
      <c r="BL226" s="537">
        <f t="shared" si="104"/>
        <v>9.5</v>
      </c>
      <c r="BM226" s="537">
        <f t="shared" si="105"/>
        <v>5.6</v>
      </c>
      <c r="BN226" s="537">
        <f t="shared" si="106"/>
        <v>6.3</v>
      </c>
      <c r="BO226" s="537">
        <f t="shared" si="107"/>
        <v>6.8000000000000114</v>
      </c>
      <c r="BP226" s="537">
        <f t="shared" si="96"/>
        <v>100</v>
      </c>
      <c r="BQ226" s="534" t="s">
        <v>1979</v>
      </c>
      <c r="BR226" s="556">
        <v>8.8539999999999994E-2</v>
      </c>
      <c r="BS226" s="556">
        <v>8.8539999999999994E-2</v>
      </c>
      <c r="BT226" s="556">
        <v>1.719E-2</v>
      </c>
      <c r="BU226" s="556">
        <v>7.3859999999999995E-2</v>
      </c>
      <c r="BV226" s="556">
        <v>4.929E-2</v>
      </c>
      <c r="BW226" s="557" t="s">
        <v>2275</v>
      </c>
      <c r="BX226" s="534" t="s">
        <v>2276</v>
      </c>
      <c r="DH226" s="539" t="str">
        <f t="shared" si="97"/>
        <v>Georgia</v>
      </c>
      <c r="DI226" s="539" t="str">
        <f t="shared" si="98"/>
        <v>Asia</v>
      </c>
      <c r="DJ226" s="539" t="str">
        <f t="shared" si="99"/>
        <v>Western Asia &amp; Middle East</v>
      </c>
      <c r="DK226" s="539" t="e">
        <f>VLOOKUP(DH226,#REF!,1)</f>
        <v>#REF!</v>
      </c>
      <c r="DL226" s="539" t="e">
        <f>VLOOKUP(DK226,#REF!,2,FALSE)</f>
        <v>#REF!</v>
      </c>
    </row>
    <row r="227" spans="49:116" ht="25.5">
      <c r="AW227" s="1395" t="s">
        <v>2544</v>
      </c>
      <c r="AX227" s="1395" t="s">
        <v>1976</v>
      </c>
      <c r="AY227" s="1396" t="s">
        <v>2050</v>
      </c>
      <c r="AZ227" s="1395">
        <v>934</v>
      </c>
      <c r="BA227" s="527" t="s">
        <v>1977</v>
      </c>
      <c r="BB227" s="535">
        <v>5.4123414965002699</v>
      </c>
      <c r="BC227" s="534" t="s">
        <v>2049</v>
      </c>
      <c r="BD227" s="536"/>
      <c r="BE227" s="536"/>
      <c r="BF227" s="534"/>
      <c r="BG227" s="536"/>
      <c r="BH227" s="537">
        <f t="shared" si="100"/>
        <v>18</v>
      </c>
      <c r="BI227" s="537">
        <f t="shared" si="101"/>
        <v>2.9</v>
      </c>
      <c r="BJ227" s="537">
        <f t="shared" si="102"/>
        <v>41.1</v>
      </c>
      <c r="BK227" s="537">
        <f t="shared" si="103"/>
        <v>9.8000000000000007</v>
      </c>
      <c r="BL227" s="537">
        <f t="shared" si="104"/>
        <v>9.5</v>
      </c>
      <c r="BM227" s="537">
        <f t="shared" si="105"/>
        <v>5.6</v>
      </c>
      <c r="BN227" s="537">
        <f t="shared" si="106"/>
        <v>6.3</v>
      </c>
      <c r="BO227" s="537">
        <f t="shared" si="107"/>
        <v>6.8000000000000114</v>
      </c>
      <c r="BP227" s="537">
        <f t="shared" si="96"/>
        <v>100</v>
      </c>
      <c r="BQ227" s="534" t="s">
        <v>1979</v>
      </c>
      <c r="BR227" s="556">
        <v>8.8539999999999994E-2</v>
      </c>
      <c r="BS227" s="556">
        <v>8.8539999999999994E-2</v>
      </c>
      <c r="BT227" s="556">
        <v>1.719E-2</v>
      </c>
      <c r="BU227" s="556">
        <v>7.3859999999999995E-2</v>
      </c>
      <c r="BV227" s="556">
        <v>4.929E-2</v>
      </c>
      <c r="BW227" s="557" t="s">
        <v>2275</v>
      </c>
      <c r="BX227" s="534" t="s">
        <v>2276</v>
      </c>
      <c r="DH227" s="539" t="str">
        <f t="shared" si="97"/>
        <v>Iran</v>
      </c>
      <c r="DI227" s="539" t="str">
        <f t="shared" si="98"/>
        <v>Asia</v>
      </c>
      <c r="DJ227" s="539" t="str">
        <f t="shared" si="99"/>
        <v>Western Asia &amp; Middle East</v>
      </c>
      <c r="DL227" s="539" t="s">
        <v>35</v>
      </c>
    </row>
    <row r="228" spans="49:116">
      <c r="AW228" s="1395" t="s">
        <v>2554</v>
      </c>
      <c r="AX228" s="1395" t="s">
        <v>1976</v>
      </c>
      <c r="AY228" s="1396" t="s">
        <v>2050</v>
      </c>
      <c r="AZ228" s="1395">
        <v>303</v>
      </c>
      <c r="BA228" s="527" t="s">
        <v>1977</v>
      </c>
      <c r="BB228" s="535">
        <v>17.022826614861582</v>
      </c>
      <c r="BC228" s="534" t="s">
        <v>2006</v>
      </c>
      <c r="BD228" s="536"/>
      <c r="BE228" s="536"/>
      <c r="BF228" s="534"/>
      <c r="BG228" s="536"/>
      <c r="BH228" s="537">
        <f t="shared" si="100"/>
        <v>18</v>
      </c>
      <c r="BI228" s="537">
        <f t="shared" si="101"/>
        <v>2.9</v>
      </c>
      <c r="BJ228" s="537">
        <f t="shared" si="102"/>
        <v>41.1</v>
      </c>
      <c r="BK228" s="537">
        <f t="shared" si="103"/>
        <v>9.8000000000000007</v>
      </c>
      <c r="BL228" s="537">
        <f t="shared" si="104"/>
        <v>9.5</v>
      </c>
      <c r="BM228" s="537">
        <f t="shared" si="105"/>
        <v>5.6</v>
      </c>
      <c r="BN228" s="537">
        <f t="shared" si="106"/>
        <v>6.3</v>
      </c>
      <c r="BO228" s="537">
        <f t="shared" si="107"/>
        <v>6.8000000000000114</v>
      </c>
      <c r="BP228" s="537">
        <f t="shared" si="96"/>
        <v>100</v>
      </c>
      <c r="BQ228" s="534" t="s">
        <v>1979</v>
      </c>
      <c r="BR228" s="556">
        <v>8.8539999999999994E-2</v>
      </c>
      <c r="BS228" s="556">
        <v>8.8539999999999994E-2</v>
      </c>
      <c r="BT228" s="556">
        <v>1.719E-2</v>
      </c>
      <c r="BU228" s="556">
        <v>7.3859999999999995E-2</v>
      </c>
      <c r="BV228" s="556">
        <v>4.929E-2</v>
      </c>
      <c r="BW228" s="557" t="s">
        <v>2275</v>
      </c>
      <c r="BX228" s="534" t="s">
        <v>2276</v>
      </c>
      <c r="DH228" s="539" t="str">
        <f t="shared" si="97"/>
        <v>Iraq</v>
      </c>
      <c r="DI228" s="539" t="str">
        <f t="shared" si="98"/>
        <v>Asia</v>
      </c>
      <c r="DJ228" s="539" t="str">
        <f t="shared" si="99"/>
        <v>Western Asia &amp; Middle East</v>
      </c>
      <c r="DK228" s="539" t="s">
        <v>2735</v>
      </c>
      <c r="DL228" s="539" t="e">
        <f>VLOOKUP(DK228,#REF!,2,FALSE)</f>
        <v>#REF!</v>
      </c>
    </row>
    <row r="229" spans="49:116">
      <c r="AW229" s="1395" t="s">
        <v>53</v>
      </c>
      <c r="AX229" s="1395" t="s">
        <v>1976</v>
      </c>
      <c r="AY229" s="1396" t="s">
        <v>2050</v>
      </c>
      <c r="AZ229" s="1395">
        <v>516</v>
      </c>
      <c r="BA229" s="527" t="s">
        <v>1977</v>
      </c>
      <c r="BB229" s="535">
        <v>17.655571635311144</v>
      </c>
      <c r="BC229" s="534" t="s">
        <v>2006</v>
      </c>
      <c r="BD229" s="536"/>
      <c r="BE229" s="536"/>
      <c r="BF229" s="534"/>
      <c r="BG229" s="536"/>
      <c r="BH229" s="537">
        <f t="shared" si="100"/>
        <v>18</v>
      </c>
      <c r="BI229" s="537">
        <f t="shared" si="101"/>
        <v>2.9</v>
      </c>
      <c r="BJ229" s="537">
        <f t="shared" si="102"/>
        <v>41.1</v>
      </c>
      <c r="BK229" s="537">
        <f t="shared" si="103"/>
        <v>9.8000000000000007</v>
      </c>
      <c r="BL229" s="537">
        <f t="shared" si="104"/>
        <v>9.5</v>
      </c>
      <c r="BM229" s="537">
        <f t="shared" si="105"/>
        <v>5.6</v>
      </c>
      <c r="BN229" s="537">
        <f t="shared" si="106"/>
        <v>6.3</v>
      </c>
      <c r="BO229" s="537">
        <f t="shared" si="107"/>
        <v>6.8000000000000114</v>
      </c>
      <c r="BP229" s="537">
        <f t="shared" si="96"/>
        <v>100</v>
      </c>
      <c r="BQ229" s="534" t="s">
        <v>1979</v>
      </c>
      <c r="BR229" s="556">
        <v>8.8539999999999994E-2</v>
      </c>
      <c r="BS229" s="556">
        <v>8.8539999999999994E-2</v>
      </c>
      <c r="BT229" s="556">
        <v>1.719E-2</v>
      </c>
      <c r="BU229" s="556">
        <v>7.3859999999999995E-2</v>
      </c>
      <c r="BV229" s="556">
        <v>4.929E-2</v>
      </c>
      <c r="BW229" s="557" t="s">
        <v>2275</v>
      </c>
      <c r="BX229" s="534" t="s">
        <v>2276</v>
      </c>
      <c r="DH229" s="539" t="str">
        <f t="shared" si="97"/>
        <v>Israel</v>
      </c>
      <c r="DI229" s="539" t="str">
        <f t="shared" si="98"/>
        <v>Asia</v>
      </c>
      <c r="DJ229" s="539" t="str">
        <f t="shared" si="99"/>
        <v>Western Asia &amp; Middle East</v>
      </c>
      <c r="DL229" s="539" t="s">
        <v>35</v>
      </c>
    </row>
    <row r="230" spans="49:116">
      <c r="AW230" s="1395" t="s">
        <v>2595</v>
      </c>
      <c r="AX230" s="1395" t="s">
        <v>1976</v>
      </c>
      <c r="AY230" s="1396" t="s">
        <v>2050</v>
      </c>
      <c r="AZ230" s="1395">
        <v>407</v>
      </c>
      <c r="BA230" s="527" t="s">
        <v>1977</v>
      </c>
      <c r="BB230" s="535">
        <v>6.1112012610691266</v>
      </c>
      <c r="BC230" s="534" t="s">
        <v>2006</v>
      </c>
      <c r="BD230" s="548">
        <v>7.0000000000000007E-2</v>
      </c>
      <c r="BE230" s="548">
        <v>0.14000000000000001</v>
      </c>
      <c r="BF230" s="534" t="s">
        <v>2179</v>
      </c>
      <c r="BG230" s="536"/>
      <c r="BH230" s="537">
        <f t="shared" si="100"/>
        <v>18</v>
      </c>
      <c r="BI230" s="537">
        <f t="shared" si="101"/>
        <v>2.9</v>
      </c>
      <c r="BJ230" s="537">
        <f t="shared" si="102"/>
        <v>41.1</v>
      </c>
      <c r="BK230" s="537">
        <f t="shared" si="103"/>
        <v>9.8000000000000007</v>
      </c>
      <c r="BL230" s="537">
        <f t="shared" si="104"/>
        <v>9.5</v>
      </c>
      <c r="BM230" s="537">
        <f t="shared" si="105"/>
        <v>5.6</v>
      </c>
      <c r="BN230" s="537">
        <f t="shared" si="106"/>
        <v>6.3</v>
      </c>
      <c r="BO230" s="537">
        <f t="shared" si="107"/>
        <v>6.8000000000000114</v>
      </c>
      <c r="BP230" s="537">
        <f t="shared" si="96"/>
        <v>100</v>
      </c>
      <c r="BQ230" s="534" t="s">
        <v>1979</v>
      </c>
      <c r="BR230" s="556">
        <v>8.8539999999999994E-2</v>
      </c>
      <c r="BS230" s="556">
        <v>8.8539999999999994E-2</v>
      </c>
      <c r="BT230" s="556">
        <v>1.719E-2</v>
      </c>
      <c r="BU230" s="556">
        <v>7.3859999999999995E-2</v>
      </c>
      <c r="BV230" s="556">
        <v>4.929E-2</v>
      </c>
      <c r="BW230" s="557" t="s">
        <v>2275</v>
      </c>
      <c r="BX230" s="534" t="s">
        <v>2276</v>
      </c>
      <c r="DH230" s="539" t="str">
        <f t="shared" si="97"/>
        <v>Jordan</v>
      </c>
      <c r="DI230" s="539" t="str">
        <f t="shared" si="98"/>
        <v>Asia</v>
      </c>
      <c r="DJ230" s="539" t="str">
        <f t="shared" si="99"/>
        <v>Western Asia &amp; Middle East</v>
      </c>
      <c r="DL230" s="539" t="s">
        <v>35</v>
      </c>
    </row>
    <row r="231" spans="49:116" ht="25.5">
      <c r="AW231" s="1395" t="s">
        <v>2607</v>
      </c>
      <c r="AX231" s="1395" t="s">
        <v>1976</v>
      </c>
      <c r="AY231" s="1396" t="s">
        <v>2050</v>
      </c>
      <c r="AZ231" s="1395">
        <v>552</v>
      </c>
      <c r="BA231" s="527" t="s">
        <v>1977</v>
      </c>
      <c r="BB231" s="535">
        <v>5.4123414965002699</v>
      </c>
      <c r="BC231" s="534" t="s">
        <v>2049</v>
      </c>
      <c r="BD231" s="536"/>
      <c r="BE231" s="536"/>
      <c r="BF231" s="534"/>
      <c r="BG231" s="536"/>
      <c r="BH231" s="537">
        <f t="shared" si="100"/>
        <v>18</v>
      </c>
      <c r="BI231" s="537">
        <f t="shared" si="101"/>
        <v>2.9</v>
      </c>
      <c r="BJ231" s="537">
        <f t="shared" si="102"/>
        <v>41.1</v>
      </c>
      <c r="BK231" s="537">
        <f t="shared" si="103"/>
        <v>9.8000000000000007</v>
      </c>
      <c r="BL231" s="537">
        <f t="shared" si="104"/>
        <v>9.5</v>
      </c>
      <c r="BM231" s="537">
        <f t="shared" si="105"/>
        <v>5.6</v>
      </c>
      <c r="BN231" s="537">
        <f t="shared" si="106"/>
        <v>6.3</v>
      </c>
      <c r="BO231" s="537">
        <f t="shared" si="107"/>
        <v>6.8000000000000114</v>
      </c>
      <c r="BP231" s="537">
        <f t="shared" si="96"/>
        <v>100</v>
      </c>
      <c r="BQ231" s="534" t="s">
        <v>1979</v>
      </c>
      <c r="BR231" s="556">
        <v>8.8539999999999994E-2</v>
      </c>
      <c r="BS231" s="556">
        <v>8.8539999999999994E-2</v>
      </c>
      <c r="BT231" s="556">
        <v>1.719E-2</v>
      </c>
      <c r="BU231" s="556">
        <v>7.3859999999999995E-2</v>
      </c>
      <c r="BV231" s="556">
        <v>4.929E-2</v>
      </c>
      <c r="BW231" s="557" t="s">
        <v>2275</v>
      </c>
      <c r="BX231" s="534" t="s">
        <v>2276</v>
      </c>
      <c r="DH231" s="539" t="str">
        <f t="shared" si="97"/>
        <v>Kuwait</v>
      </c>
      <c r="DI231" s="539" t="str">
        <f t="shared" si="98"/>
        <v>Asia</v>
      </c>
      <c r="DJ231" s="539" t="str">
        <f t="shared" si="99"/>
        <v>Western Asia &amp; Middle East</v>
      </c>
      <c r="DL231" s="539" t="s">
        <v>35</v>
      </c>
    </row>
    <row r="232" spans="49:116">
      <c r="AW232" s="1395" t="s">
        <v>2733</v>
      </c>
      <c r="AX232" s="1395" t="s">
        <v>1976</v>
      </c>
      <c r="AY232" s="1396" t="s">
        <v>2050</v>
      </c>
      <c r="AZ232" s="1395">
        <v>525</v>
      </c>
      <c r="BA232" s="527" t="s">
        <v>1977</v>
      </c>
      <c r="BB232" s="535">
        <v>71.034482758620683</v>
      </c>
      <c r="BC232" s="534" t="s">
        <v>2006</v>
      </c>
      <c r="BD232" s="536"/>
      <c r="BE232" s="536"/>
      <c r="BF232" s="534"/>
      <c r="BG232" s="536"/>
      <c r="BH232" s="537">
        <f t="shared" si="100"/>
        <v>18</v>
      </c>
      <c r="BI232" s="537">
        <f t="shared" si="101"/>
        <v>2.9</v>
      </c>
      <c r="BJ232" s="537">
        <f t="shared" si="102"/>
        <v>41.1</v>
      </c>
      <c r="BK232" s="537">
        <f t="shared" si="103"/>
        <v>9.8000000000000007</v>
      </c>
      <c r="BL232" s="537">
        <f t="shared" si="104"/>
        <v>9.5</v>
      </c>
      <c r="BM232" s="537">
        <f t="shared" si="105"/>
        <v>5.6</v>
      </c>
      <c r="BN232" s="537">
        <f t="shared" si="106"/>
        <v>6.3</v>
      </c>
      <c r="BO232" s="537">
        <f t="shared" si="107"/>
        <v>6.8000000000000114</v>
      </c>
      <c r="BP232" s="537">
        <f t="shared" si="96"/>
        <v>100</v>
      </c>
      <c r="BQ232" s="534" t="s">
        <v>1979</v>
      </c>
      <c r="BR232" s="556">
        <v>8.8539999999999994E-2</v>
      </c>
      <c r="BS232" s="556">
        <v>8.8539999999999994E-2</v>
      </c>
      <c r="BT232" s="556">
        <v>1.719E-2</v>
      </c>
      <c r="BU232" s="556">
        <v>7.3859999999999995E-2</v>
      </c>
      <c r="BV232" s="556">
        <v>4.929E-2</v>
      </c>
      <c r="BW232" s="557" t="s">
        <v>2275</v>
      </c>
      <c r="BX232" s="534" t="s">
        <v>2276</v>
      </c>
      <c r="DH232" s="539" t="str">
        <f t="shared" si="97"/>
        <v>Lebanon</v>
      </c>
      <c r="DI232" s="539" t="str">
        <f t="shared" si="98"/>
        <v>Asia</v>
      </c>
      <c r="DJ232" s="539" t="str">
        <f t="shared" si="99"/>
        <v>Western Asia &amp; Middle East</v>
      </c>
      <c r="DL232" s="539" t="s">
        <v>35</v>
      </c>
    </row>
    <row r="233" spans="49:116" ht="25.5">
      <c r="AW233" s="1395" t="s">
        <v>69</v>
      </c>
      <c r="AX233" s="1395" t="s">
        <v>1976</v>
      </c>
      <c r="AY233" s="1396" t="s">
        <v>2050</v>
      </c>
      <c r="AZ233" s="1395">
        <v>481</v>
      </c>
      <c r="BA233" s="527" t="s">
        <v>2743</v>
      </c>
      <c r="BB233" s="535">
        <v>5.4123414965002699</v>
      </c>
      <c r="BC233" s="534" t="s">
        <v>2049</v>
      </c>
      <c r="BD233" s="536"/>
      <c r="BE233" s="536"/>
      <c r="BF233" s="534"/>
      <c r="BG233" s="536"/>
      <c r="BH233" s="537">
        <f t="shared" si="100"/>
        <v>18</v>
      </c>
      <c r="BI233" s="537">
        <f t="shared" si="101"/>
        <v>2.9</v>
      </c>
      <c r="BJ233" s="537">
        <f t="shared" si="102"/>
        <v>41.1</v>
      </c>
      <c r="BK233" s="537">
        <f t="shared" si="103"/>
        <v>9.8000000000000007</v>
      </c>
      <c r="BL233" s="537">
        <f t="shared" si="104"/>
        <v>9.5</v>
      </c>
      <c r="BM233" s="537">
        <f t="shared" si="105"/>
        <v>5.6</v>
      </c>
      <c r="BN233" s="537">
        <f t="shared" si="106"/>
        <v>6.3</v>
      </c>
      <c r="BO233" s="537">
        <f t="shared" si="107"/>
        <v>6.8000000000000114</v>
      </c>
      <c r="BP233" s="537">
        <f t="shared" si="96"/>
        <v>100</v>
      </c>
      <c r="BQ233" s="534" t="s">
        <v>1979</v>
      </c>
      <c r="BR233" s="556">
        <v>8.8539999999999994E-2</v>
      </c>
      <c r="BS233" s="556">
        <v>8.8539999999999994E-2</v>
      </c>
      <c r="BT233" s="556">
        <v>1.719E-2</v>
      </c>
      <c r="BU233" s="556">
        <v>7.3859999999999995E-2</v>
      </c>
      <c r="BV233" s="556">
        <v>4.929E-2</v>
      </c>
      <c r="BW233" s="557" t="s">
        <v>2275</v>
      </c>
      <c r="BX233" s="534" t="s">
        <v>2276</v>
      </c>
      <c r="DH233" s="539" t="str">
        <f t="shared" si="97"/>
        <v>Syrian Arab Republic</v>
      </c>
      <c r="DI233" s="539" t="str">
        <f t="shared" si="98"/>
        <v>Asia</v>
      </c>
      <c r="DJ233" s="539" t="str">
        <f t="shared" si="99"/>
        <v>Western Asia &amp; Middle East</v>
      </c>
      <c r="DL233" s="539" t="s">
        <v>35</v>
      </c>
    </row>
    <row r="234" spans="49:116">
      <c r="AW234" s="1395" t="s">
        <v>2759</v>
      </c>
      <c r="AX234" s="1395" t="s">
        <v>1976</v>
      </c>
      <c r="AY234" s="1396" t="s">
        <v>2050</v>
      </c>
      <c r="AZ234" s="1395">
        <v>625</v>
      </c>
      <c r="BA234" s="527" t="s">
        <v>1977</v>
      </c>
      <c r="BB234" s="535">
        <v>2.3041940373926222</v>
      </c>
      <c r="BC234" s="534" t="s">
        <v>2006</v>
      </c>
      <c r="BD234" s="536"/>
      <c r="BE234" s="536"/>
      <c r="BF234" s="534"/>
      <c r="BG234" s="536"/>
      <c r="BH234" s="537">
        <f t="shared" si="100"/>
        <v>18</v>
      </c>
      <c r="BI234" s="537">
        <f t="shared" si="101"/>
        <v>2.9</v>
      </c>
      <c r="BJ234" s="537">
        <f t="shared" si="102"/>
        <v>41.1</v>
      </c>
      <c r="BK234" s="537">
        <f t="shared" si="103"/>
        <v>9.8000000000000007</v>
      </c>
      <c r="BL234" s="537">
        <f t="shared" si="104"/>
        <v>9.5</v>
      </c>
      <c r="BM234" s="537">
        <f t="shared" si="105"/>
        <v>5.6</v>
      </c>
      <c r="BN234" s="537">
        <f t="shared" si="106"/>
        <v>6.3</v>
      </c>
      <c r="BO234" s="537">
        <f t="shared" si="107"/>
        <v>6.8000000000000114</v>
      </c>
      <c r="BP234" s="537">
        <f t="shared" si="96"/>
        <v>100</v>
      </c>
      <c r="BQ234" s="534" t="s">
        <v>1979</v>
      </c>
      <c r="BR234" s="556">
        <v>8.8539999999999994E-2</v>
      </c>
      <c r="BS234" s="556">
        <v>8.8539999999999994E-2</v>
      </c>
      <c r="BT234" s="556">
        <v>1.719E-2</v>
      </c>
      <c r="BU234" s="556">
        <v>7.3859999999999995E-2</v>
      </c>
      <c r="BV234" s="556">
        <v>4.929E-2</v>
      </c>
      <c r="BW234" s="557" t="s">
        <v>2275</v>
      </c>
      <c r="BX234" s="534" t="s">
        <v>2276</v>
      </c>
      <c r="DH234" s="539" t="str">
        <f t="shared" si="97"/>
        <v>Turkey</v>
      </c>
      <c r="DI234" s="539" t="str">
        <f t="shared" si="98"/>
        <v>Asia</v>
      </c>
      <c r="DJ234" s="539" t="str">
        <f t="shared" si="99"/>
        <v>Western Asia &amp; Middle East</v>
      </c>
      <c r="DL234" s="539" t="s">
        <v>35</v>
      </c>
    </row>
    <row r="235" spans="49:116">
      <c r="AW235" s="1395" t="s">
        <v>2712</v>
      </c>
      <c r="AX235" s="1394" t="s">
        <v>2005</v>
      </c>
      <c r="AY235" s="1396" t="s">
        <v>2138</v>
      </c>
      <c r="AZ235" s="1395">
        <v>432</v>
      </c>
      <c r="BA235" s="527" t="s">
        <v>1977</v>
      </c>
      <c r="BB235" s="535">
        <v>14.799770869135031</v>
      </c>
      <c r="BC235" s="534" t="s">
        <v>2006</v>
      </c>
      <c r="BD235" s="536"/>
      <c r="BE235" s="536"/>
      <c r="BF235" s="534"/>
      <c r="BG235" s="536"/>
      <c r="BH235" s="537">
        <f t="shared" si="100"/>
        <v>27.5</v>
      </c>
      <c r="BI235" s="537">
        <f t="shared" si="101"/>
        <v>7.4</v>
      </c>
      <c r="BJ235" s="537">
        <f t="shared" si="102"/>
        <v>24.2</v>
      </c>
      <c r="BK235" s="537">
        <f t="shared" si="103"/>
        <v>11</v>
      </c>
      <c r="BL235" s="537">
        <f t="shared" si="104"/>
        <v>9.5</v>
      </c>
      <c r="BM235" s="537">
        <f t="shared" si="105"/>
        <v>5.6</v>
      </c>
      <c r="BN235" s="537">
        <f t="shared" si="106"/>
        <v>7.4</v>
      </c>
      <c r="BO235" s="537">
        <f t="shared" si="107"/>
        <v>7.3999999999999986</v>
      </c>
      <c r="BP235" s="537">
        <f t="shared" si="96"/>
        <v>100</v>
      </c>
      <c r="BQ235" s="534" t="s">
        <v>1979</v>
      </c>
      <c r="BR235" s="556">
        <v>8.8539999999999994E-2</v>
      </c>
      <c r="BS235" s="556">
        <v>8.8539999999999994E-2</v>
      </c>
      <c r="BT235" s="556">
        <v>1.719E-2</v>
      </c>
      <c r="BU235" s="556">
        <v>7.3859999999999995E-2</v>
      </c>
      <c r="BV235" s="556">
        <v>4.929E-2</v>
      </c>
      <c r="BW235" s="557" t="s">
        <v>2275</v>
      </c>
      <c r="BX235" s="534" t="s">
        <v>2276</v>
      </c>
      <c r="DH235" s="539" t="str">
        <f t="shared" si="97"/>
        <v>West Bank and Gaza</v>
      </c>
      <c r="DI235" s="539" t="str">
        <f t="shared" si="98"/>
        <v>Asia</v>
      </c>
      <c r="DJ235" s="539" t="str">
        <f t="shared" si="99"/>
        <v>Western Asia &amp; Middle East</v>
      </c>
      <c r="DL235" s="539" t="s">
        <v>35</v>
      </c>
    </row>
    <row r="236" spans="49:116">
      <c r="AW236" s="1395" t="s">
        <v>47</v>
      </c>
      <c r="AX236" s="1395" t="s">
        <v>2005</v>
      </c>
      <c r="AY236" s="1396" t="s">
        <v>2138</v>
      </c>
      <c r="AZ236" s="1395">
        <v>58.5</v>
      </c>
      <c r="BA236" s="527" t="s">
        <v>2178</v>
      </c>
      <c r="BB236" s="535">
        <v>14.816064263403753</v>
      </c>
      <c r="BC236" s="534" t="s">
        <v>2006</v>
      </c>
      <c r="BD236" s="536"/>
      <c r="BE236" s="536"/>
      <c r="BF236" s="534"/>
      <c r="BG236" s="536"/>
      <c r="BH236" s="537">
        <f t="shared" si="100"/>
        <v>27.5</v>
      </c>
      <c r="BI236" s="537">
        <f t="shared" si="101"/>
        <v>7.4</v>
      </c>
      <c r="BJ236" s="537">
        <f t="shared" si="102"/>
        <v>24.2</v>
      </c>
      <c r="BK236" s="537">
        <f t="shared" si="103"/>
        <v>11</v>
      </c>
      <c r="BL236" s="537">
        <f t="shared" si="104"/>
        <v>9.5</v>
      </c>
      <c r="BM236" s="537">
        <f t="shared" si="105"/>
        <v>5.6</v>
      </c>
      <c r="BN236" s="537">
        <f t="shared" si="106"/>
        <v>7.4</v>
      </c>
      <c r="BO236" s="537">
        <f t="shared" si="107"/>
        <v>7.3999999999999986</v>
      </c>
      <c r="BP236" s="537">
        <f t="shared" si="96"/>
        <v>100</v>
      </c>
      <c r="BQ236" s="534" t="s">
        <v>1979</v>
      </c>
      <c r="BR236" s="556">
        <v>8.8539999999999994E-2</v>
      </c>
      <c r="BS236" s="556">
        <v>8.8539999999999994E-2</v>
      </c>
      <c r="BT236" s="556">
        <v>1.719E-2</v>
      </c>
      <c r="BU236" s="556">
        <v>7.3859999999999995E-2</v>
      </c>
      <c r="BV236" s="556">
        <v>4.929E-2</v>
      </c>
      <c r="BW236" s="557" t="s">
        <v>2275</v>
      </c>
      <c r="BX236" s="534" t="s">
        <v>2276</v>
      </c>
      <c r="DH236" s="539" t="str">
        <f t="shared" ref="DH236:DH267" si="108">AW235</f>
        <v>Saint Pierre and Miquelon (France)</v>
      </c>
      <c r="DI236" s="539" t="str">
        <f t="shared" ref="DI236:DI267" si="109">AX235</f>
        <v>Europe</v>
      </c>
      <c r="DJ236" s="539" t="str">
        <f t="shared" ref="DJ236:DJ267" si="110">AY235</f>
        <v>Western Europe</v>
      </c>
      <c r="DL236" s="539" t="s">
        <v>35</v>
      </c>
    </row>
    <row r="237" spans="49:116">
      <c r="AW237" s="1395" t="s">
        <v>48</v>
      </c>
      <c r="AX237" s="1395" t="s">
        <v>2005</v>
      </c>
      <c r="AY237" s="1396" t="s">
        <v>2138</v>
      </c>
      <c r="AZ237" s="1395">
        <v>440.8</v>
      </c>
      <c r="BA237" s="527" t="s">
        <v>2178</v>
      </c>
      <c r="BB237" s="535">
        <v>12.485294117647058</v>
      </c>
      <c r="BC237" s="534" t="s">
        <v>2006</v>
      </c>
      <c r="BD237" s="536"/>
      <c r="BE237" s="536"/>
      <c r="BF237" s="534"/>
      <c r="BG237" s="536"/>
      <c r="BH237" s="537">
        <f t="shared" si="100"/>
        <v>27.5</v>
      </c>
      <c r="BI237" s="537">
        <f t="shared" si="101"/>
        <v>7.4</v>
      </c>
      <c r="BJ237" s="537">
        <f t="shared" si="102"/>
        <v>24.2</v>
      </c>
      <c r="BK237" s="537">
        <f t="shared" si="103"/>
        <v>11</v>
      </c>
      <c r="BL237" s="537">
        <f t="shared" si="104"/>
        <v>9.5</v>
      </c>
      <c r="BM237" s="537">
        <f t="shared" si="105"/>
        <v>5.6</v>
      </c>
      <c r="BN237" s="537">
        <f t="shared" si="106"/>
        <v>7.4</v>
      </c>
      <c r="BO237" s="537">
        <f t="shared" si="107"/>
        <v>7.3999999999999986</v>
      </c>
      <c r="BP237" s="537">
        <f t="shared" si="96"/>
        <v>100</v>
      </c>
      <c r="BQ237" s="534" t="s">
        <v>1979</v>
      </c>
      <c r="BR237" s="556">
        <v>8.8539999999999994E-2</v>
      </c>
      <c r="BS237" s="556">
        <v>8.8539999999999994E-2</v>
      </c>
      <c r="BT237" s="556">
        <v>1.719E-2</v>
      </c>
      <c r="BU237" s="556">
        <v>7.3859999999999995E-2</v>
      </c>
      <c r="BV237" s="556">
        <v>4.929E-2</v>
      </c>
      <c r="BW237" s="557" t="s">
        <v>2275</v>
      </c>
      <c r="BX237" s="534" t="s">
        <v>2276</v>
      </c>
      <c r="DH237" s="539" t="str">
        <f t="shared" si="108"/>
        <v>France</v>
      </c>
      <c r="DI237" s="539" t="str">
        <f t="shared" si="109"/>
        <v>Europe</v>
      </c>
      <c r="DJ237" s="539" t="str">
        <f t="shared" si="110"/>
        <v>Western Europe</v>
      </c>
      <c r="DK237" s="539" t="e">
        <f>VLOOKUP(DH237,#REF!,1)</f>
        <v>#REF!</v>
      </c>
      <c r="DL237" s="539" t="e">
        <f>VLOOKUP(DK237,#REF!,2,FALSE)</f>
        <v>#REF!</v>
      </c>
    </row>
    <row r="238" spans="49:116" ht="25.5">
      <c r="AW238" s="1395" t="s">
        <v>2619</v>
      </c>
      <c r="AX238" s="1395" t="s">
        <v>2005</v>
      </c>
      <c r="AY238" s="1396" t="s">
        <v>2138</v>
      </c>
      <c r="AZ238" s="1395">
        <v>97</v>
      </c>
      <c r="BA238" s="527" t="s">
        <v>1977</v>
      </c>
      <c r="BB238" s="535">
        <v>9.3894684857089938</v>
      </c>
      <c r="BC238" s="534" t="s">
        <v>2087</v>
      </c>
      <c r="BD238" s="536"/>
      <c r="BE238" s="536"/>
      <c r="BF238" s="534"/>
      <c r="BG238" s="536"/>
      <c r="BH238" s="537">
        <f t="shared" si="100"/>
        <v>27.5</v>
      </c>
      <c r="BI238" s="537">
        <f t="shared" si="101"/>
        <v>7.4</v>
      </c>
      <c r="BJ238" s="537">
        <f t="shared" si="102"/>
        <v>24.2</v>
      </c>
      <c r="BK238" s="537">
        <f t="shared" si="103"/>
        <v>11</v>
      </c>
      <c r="BL238" s="537">
        <f t="shared" si="104"/>
        <v>9.5</v>
      </c>
      <c r="BM238" s="537">
        <f t="shared" si="105"/>
        <v>5.6</v>
      </c>
      <c r="BN238" s="537">
        <f t="shared" si="106"/>
        <v>7.4</v>
      </c>
      <c r="BO238" s="537">
        <f t="shared" si="107"/>
        <v>7.3999999999999986</v>
      </c>
      <c r="BP238" s="537">
        <f t="shared" si="96"/>
        <v>100</v>
      </c>
      <c r="BQ238" s="534" t="s">
        <v>1979</v>
      </c>
      <c r="BR238" s="556">
        <v>8.8539999999999994E-2</v>
      </c>
      <c r="BS238" s="556">
        <v>8.8539999999999994E-2</v>
      </c>
      <c r="BT238" s="556">
        <v>1.719E-2</v>
      </c>
      <c r="BU238" s="556">
        <v>7.3859999999999995E-2</v>
      </c>
      <c r="BV238" s="556">
        <v>4.929E-2</v>
      </c>
      <c r="BW238" s="557" t="s">
        <v>2275</v>
      </c>
      <c r="BX238" s="534" t="s">
        <v>2276</v>
      </c>
      <c r="DH238" s="539" t="str">
        <f t="shared" si="108"/>
        <v>Germany</v>
      </c>
      <c r="DI238" s="539" t="str">
        <f t="shared" si="109"/>
        <v>Europe</v>
      </c>
      <c r="DJ238" s="539" t="str">
        <f t="shared" si="110"/>
        <v>Western Europe</v>
      </c>
      <c r="DL238" s="539" t="s">
        <v>35</v>
      </c>
    </row>
    <row r="239" spans="49:116" ht="25.5">
      <c r="AW239" s="1395" t="s">
        <v>2625</v>
      </c>
      <c r="AX239" s="1395" t="s">
        <v>2005</v>
      </c>
      <c r="AY239" s="1396" t="s">
        <v>2138</v>
      </c>
      <c r="AZ239" s="1395">
        <v>219.3</v>
      </c>
      <c r="BA239" s="527" t="s">
        <v>2178</v>
      </c>
      <c r="BB239" s="535">
        <v>5.4123414965002699</v>
      </c>
      <c r="BC239" s="534" t="s">
        <v>2049</v>
      </c>
      <c r="BD239" s="536"/>
      <c r="BE239" s="536"/>
      <c r="BF239" s="534"/>
      <c r="BG239" s="536"/>
      <c r="BH239" s="537">
        <f t="shared" si="100"/>
        <v>27.5</v>
      </c>
      <c r="BI239" s="537">
        <f t="shared" si="101"/>
        <v>7.4</v>
      </c>
      <c r="BJ239" s="537">
        <f t="shared" si="102"/>
        <v>24.2</v>
      </c>
      <c r="BK239" s="537">
        <f t="shared" si="103"/>
        <v>11</v>
      </c>
      <c r="BL239" s="537">
        <f t="shared" si="104"/>
        <v>9.5</v>
      </c>
      <c r="BM239" s="537">
        <f t="shared" si="105"/>
        <v>5.6</v>
      </c>
      <c r="BN239" s="537">
        <f t="shared" si="106"/>
        <v>7.4</v>
      </c>
      <c r="BO239" s="537">
        <f t="shared" si="107"/>
        <v>7.3999999999999986</v>
      </c>
      <c r="BP239" s="537">
        <f t="shared" si="96"/>
        <v>100</v>
      </c>
      <c r="BQ239" s="534" t="s">
        <v>1979</v>
      </c>
      <c r="BR239" s="556">
        <v>8.8539999999999994E-2</v>
      </c>
      <c r="BS239" s="556">
        <v>8.8539999999999994E-2</v>
      </c>
      <c r="BT239" s="556">
        <v>1.719E-2</v>
      </c>
      <c r="BU239" s="556">
        <v>7.3859999999999995E-2</v>
      </c>
      <c r="BV239" s="556">
        <v>4.929E-2</v>
      </c>
      <c r="BW239" s="557" t="s">
        <v>2275</v>
      </c>
      <c r="BX239" s="534" t="s">
        <v>2276</v>
      </c>
      <c r="DH239" s="539" t="str">
        <f t="shared" si="108"/>
        <v>Liechtenstein</v>
      </c>
      <c r="DI239" s="539" t="str">
        <f t="shared" si="109"/>
        <v>Europe</v>
      </c>
      <c r="DJ239" s="539" t="str">
        <f t="shared" si="110"/>
        <v>Western Europe</v>
      </c>
      <c r="DL239" s="539" t="s">
        <v>35</v>
      </c>
    </row>
    <row r="240" spans="49:116" ht="25.5">
      <c r="AW240" s="1395" t="s">
        <v>2675</v>
      </c>
      <c r="AX240" s="1395" t="s">
        <v>2005</v>
      </c>
      <c r="AY240" s="1396" t="s">
        <v>2138</v>
      </c>
      <c r="AZ240" s="1395">
        <v>43</v>
      </c>
      <c r="BA240" s="527" t="s">
        <v>1977</v>
      </c>
      <c r="BB240" s="535">
        <v>11.740747004194485</v>
      </c>
      <c r="BC240" s="534" t="s">
        <v>2263</v>
      </c>
      <c r="BD240" s="536"/>
      <c r="BE240" s="536"/>
      <c r="BF240" s="534"/>
      <c r="BG240" s="536"/>
      <c r="BH240" s="537">
        <f t="shared" si="100"/>
        <v>27.5</v>
      </c>
      <c r="BI240" s="537">
        <f t="shared" si="101"/>
        <v>7.4</v>
      </c>
      <c r="BJ240" s="537">
        <f t="shared" si="102"/>
        <v>24.2</v>
      </c>
      <c r="BK240" s="537">
        <f t="shared" si="103"/>
        <v>11</v>
      </c>
      <c r="BL240" s="537">
        <f t="shared" si="104"/>
        <v>9.5</v>
      </c>
      <c r="BM240" s="537">
        <f t="shared" si="105"/>
        <v>5.6</v>
      </c>
      <c r="BN240" s="537">
        <f t="shared" si="106"/>
        <v>7.4</v>
      </c>
      <c r="BO240" s="537">
        <f t="shared" si="107"/>
        <v>7.3999999999999986</v>
      </c>
      <c r="BP240" s="537">
        <f t="shared" si="96"/>
        <v>100</v>
      </c>
      <c r="BQ240" s="534" t="s">
        <v>1979</v>
      </c>
      <c r="BR240" s="556">
        <v>8.8539999999999994E-2</v>
      </c>
      <c r="BS240" s="556">
        <v>8.8539999999999994E-2</v>
      </c>
      <c r="BT240" s="556">
        <v>1.719E-2</v>
      </c>
      <c r="BU240" s="556">
        <v>7.3859999999999995E-2</v>
      </c>
      <c r="BV240" s="556">
        <v>4.929E-2</v>
      </c>
      <c r="BW240" s="557" t="s">
        <v>2275</v>
      </c>
      <c r="BX240" s="534" t="s">
        <v>2276</v>
      </c>
      <c r="DH240" s="539" t="str">
        <f t="shared" si="108"/>
        <v>Luxembourg</v>
      </c>
      <c r="DI240" s="539" t="str">
        <f t="shared" si="109"/>
        <v>Europe</v>
      </c>
      <c r="DJ240" s="539" t="str">
        <f t="shared" si="110"/>
        <v>Western Europe</v>
      </c>
      <c r="DL240" s="539" t="s">
        <v>35</v>
      </c>
    </row>
    <row r="241" spans="49:116">
      <c r="AW241" s="1395" t="s">
        <v>57</v>
      </c>
      <c r="AX241" s="1395" t="s">
        <v>2005</v>
      </c>
      <c r="AY241" s="1396" t="s">
        <v>2138</v>
      </c>
      <c r="AZ241" s="1395">
        <v>505.2</v>
      </c>
      <c r="BA241" s="527" t="s">
        <v>2178</v>
      </c>
      <c r="BB241" s="535">
        <v>10.77895315290562</v>
      </c>
      <c r="BC241" s="534" t="s">
        <v>2006</v>
      </c>
      <c r="BD241" s="536"/>
      <c r="BE241" s="536"/>
      <c r="BF241" s="534"/>
      <c r="BG241" s="536"/>
      <c r="BH241" s="537">
        <f t="shared" si="100"/>
        <v>27.5</v>
      </c>
      <c r="BI241" s="537">
        <f t="shared" si="101"/>
        <v>7.4</v>
      </c>
      <c r="BJ241" s="537">
        <f t="shared" si="102"/>
        <v>24.2</v>
      </c>
      <c r="BK241" s="537">
        <f t="shared" si="103"/>
        <v>11</v>
      </c>
      <c r="BL241" s="537">
        <f t="shared" si="104"/>
        <v>9.5</v>
      </c>
      <c r="BM241" s="537">
        <f t="shared" si="105"/>
        <v>5.6</v>
      </c>
      <c r="BN241" s="537">
        <f t="shared" si="106"/>
        <v>7.4</v>
      </c>
      <c r="BO241" s="537">
        <f t="shared" si="107"/>
        <v>7.3999999999999986</v>
      </c>
      <c r="BP241" s="537">
        <f t="shared" si="96"/>
        <v>100</v>
      </c>
      <c r="BQ241" s="534" t="s">
        <v>1979</v>
      </c>
      <c r="BR241" s="556">
        <v>8.8539999999999994E-2</v>
      </c>
      <c r="BS241" s="556">
        <v>8.8539999999999994E-2</v>
      </c>
      <c r="BT241" s="556">
        <v>1.719E-2</v>
      </c>
      <c r="BU241" s="556">
        <v>7.3859999999999995E-2</v>
      </c>
      <c r="BV241" s="556">
        <v>4.929E-2</v>
      </c>
      <c r="BW241" s="557" t="s">
        <v>2275</v>
      </c>
      <c r="BX241" s="534" t="s">
        <v>2276</v>
      </c>
      <c r="DH241" s="539" t="str">
        <f t="shared" si="108"/>
        <v>Monaco</v>
      </c>
      <c r="DI241" s="539" t="str">
        <f t="shared" si="109"/>
        <v>Europe</v>
      </c>
      <c r="DJ241" s="539" t="str">
        <f t="shared" si="110"/>
        <v>Western Europe</v>
      </c>
      <c r="DL241" s="539" t="s">
        <v>35</v>
      </c>
    </row>
    <row r="242" spans="49:116">
      <c r="AW242" s="1395" t="s">
        <v>67</v>
      </c>
      <c r="AX242" s="1395" t="s">
        <v>2005</v>
      </c>
      <c r="AY242" s="1396" t="s">
        <v>2138</v>
      </c>
      <c r="AZ242" s="1395">
        <v>55</v>
      </c>
      <c r="BA242" s="527" t="s">
        <v>1977</v>
      </c>
      <c r="BB242" s="535">
        <v>6.773479335438692</v>
      </c>
      <c r="BC242" s="534" t="s">
        <v>2006</v>
      </c>
      <c r="BD242" s="536"/>
      <c r="BE242" s="536"/>
      <c r="BF242" s="534"/>
      <c r="BG242" s="536"/>
      <c r="BH242" s="537">
        <f t="shared" si="100"/>
        <v>27.5</v>
      </c>
      <c r="BI242" s="537">
        <f t="shared" si="101"/>
        <v>7.4</v>
      </c>
      <c r="BJ242" s="537">
        <f t="shared" si="102"/>
        <v>24.2</v>
      </c>
      <c r="BK242" s="537">
        <f t="shared" si="103"/>
        <v>11</v>
      </c>
      <c r="BL242" s="537">
        <f t="shared" si="104"/>
        <v>9.5</v>
      </c>
      <c r="BM242" s="537">
        <f t="shared" si="105"/>
        <v>5.6</v>
      </c>
      <c r="BN242" s="537">
        <f t="shared" si="106"/>
        <v>7.4</v>
      </c>
      <c r="BO242" s="537">
        <f t="shared" si="107"/>
        <v>7.3999999999999986</v>
      </c>
      <c r="BP242" s="537">
        <f t="shared" si="96"/>
        <v>100</v>
      </c>
      <c r="BQ242" s="534" t="s">
        <v>1979</v>
      </c>
      <c r="BR242" s="556">
        <v>8.8539999999999994E-2</v>
      </c>
      <c r="BS242" s="556">
        <v>8.8539999999999994E-2</v>
      </c>
      <c r="BT242" s="556">
        <v>1.719E-2</v>
      </c>
      <c r="BU242" s="556">
        <v>7.3859999999999995E-2</v>
      </c>
      <c r="BV242" s="556">
        <v>4.929E-2</v>
      </c>
      <c r="BW242" s="557" t="s">
        <v>2275</v>
      </c>
      <c r="BX242" s="534" t="s">
        <v>2276</v>
      </c>
      <c r="DH242" s="539" t="str">
        <f t="shared" si="108"/>
        <v>Netherlands</v>
      </c>
      <c r="DI242" s="539" t="str">
        <f t="shared" si="109"/>
        <v>Europe</v>
      </c>
      <c r="DJ242" s="539" t="str">
        <f t="shared" si="110"/>
        <v>Western Europe</v>
      </c>
      <c r="DL242" s="539" t="s">
        <v>35</v>
      </c>
    </row>
    <row r="243" spans="49:116">
      <c r="AW243" s="532"/>
      <c r="AX243" s="532"/>
      <c r="AY243" s="533"/>
      <c r="AZ243" s="532"/>
      <c r="BA243" s="534"/>
      <c r="BB243" s="535">
        <v>8.5999828429269964</v>
      </c>
      <c r="BC243" s="534" t="s">
        <v>2750</v>
      </c>
      <c r="BD243" s="536"/>
      <c r="BE243" s="536"/>
      <c r="BF243" s="534"/>
      <c r="BG243" s="536"/>
      <c r="BH243" s="537" t="e">
        <f t="shared" si="100"/>
        <v>#N/A</v>
      </c>
      <c r="BI243" s="537" t="e">
        <f t="shared" si="101"/>
        <v>#N/A</v>
      </c>
      <c r="BJ243" s="537" t="e">
        <f t="shared" si="102"/>
        <v>#N/A</v>
      </c>
      <c r="BK243" s="537" t="e">
        <f t="shared" si="103"/>
        <v>#N/A</v>
      </c>
      <c r="BL243" s="537" t="e">
        <f t="shared" si="104"/>
        <v>#N/A</v>
      </c>
      <c r="BM243" s="537" t="e">
        <f t="shared" si="105"/>
        <v>#N/A</v>
      </c>
      <c r="BN243" s="537" t="e">
        <f t="shared" si="106"/>
        <v>#N/A</v>
      </c>
      <c r="BO243" s="537" t="e">
        <f t="shared" si="107"/>
        <v>#N/A</v>
      </c>
      <c r="BP243" s="537" t="e">
        <f t="shared" si="96"/>
        <v>#N/A</v>
      </c>
      <c r="BQ243" s="534" t="s">
        <v>1979</v>
      </c>
      <c r="BR243" s="556">
        <v>8.8539999999999994E-2</v>
      </c>
      <c r="BS243" s="556">
        <v>8.8539999999999994E-2</v>
      </c>
      <c r="BT243" s="556">
        <v>1.719E-2</v>
      </c>
      <c r="BU243" s="556">
        <v>7.3859999999999995E-2</v>
      </c>
      <c r="BV243" s="556">
        <v>4.929E-2</v>
      </c>
      <c r="BW243" s="557" t="s">
        <v>2275</v>
      </c>
      <c r="BX243" s="534" t="s">
        <v>2276</v>
      </c>
      <c r="DH243" s="539" t="str">
        <f t="shared" si="108"/>
        <v>Switzerland</v>
      </c>
      <c r="DI243" s="539" t="str">
        <f t="shared" si="109"/>
        <v>Europe</v>
      </c>
      <c r="DJ243" s="539" t="str">
        <f t="shared" si="110"/>
        <v>Western Europe</v>
      </c>
      <c r="DL243" s="539" t="s">
        <v>35</v>
      </c>
    </row>
    <row r="244" spans="49:116">
      <c r="AW244" s="532"/>
      <c r="AX244" s="532"/>
      <c r="AY244" s="533"/>
      <c r="AZ244" s="532"/>
      <c r="BA244" s="534"/>
      <c r="BB244" s="551">
        <v>9.6273530541682675</v>
      </c>
      <c r="BC244" s="534" t="s">
        <v>2006</v>
      </c>
      <c r="BD244" s="548">
        <v>0.05</v>
      </c>
      <c r="BE244" s="548">
        <v>0.08</v>
      </c>
      <c r="BF244" s="534" t="s">
        <v>2179</v>
      </c>
      <c r="BG244" s="536"/>
      <c r="BH244" s="537" t="e">
        <f t="shared" si="100"/>
        <v>#N/A</v>
      </c>
      <c r="BI244" s="537" t="e">
        <f t="shared" si="101"/>
        <v>#N/A</v>
      </c>
      <c r="BJ244" s="537" t="e">
        <f t="shared" si="102"/>
        <v>#N/A</v>
      </c>
      <c r="BK244" s="537" t="e">
        <f t="shared" si="103"/>
        <v>#N/A</v>
      </c>
      <c r="BL244" s="537" t="e">
        <f t="shared" si="104"/>
        <v>#N/A</v>
      </c>
      <c r="BM244" s="537" t="e">
        <f t="shared" si="105"/>
        <v>#N/A</v>
      </c>
      <c r="BN244" s="537" t="e">
        <f t="shared" si="106"/>
        <v>#N/A</v>
      </c>
      <c r="BO244" s="537" t="e">
        <f t="shared" si="107"/>
        <v>#N/A</v>
      </c>
      <c r="BP244" s="537" t="e">
        <f t="shared" si="96"/>
        <v>#N/A</v>
      </c>
      <c r="BQ244" s="534" t="s">
        <v>2754</v>
      </c>
      <c r="BR244" s="556">
        <v>8.8539999999999994E-2</v>
      </c>
      <c r="BS244" s="556">
        <v>8.8539999999999994E-2</v>
      </c>
      <c r="BT244" s="556">
        <v>1.719E-2</v>
      </c>
      <c r="BU244" s="556">
        <v>7.3859999999999995E-2</v>
      </c>
      <c r="BV244" s="556">
        <v>4.929E-2</v>
      </c>
      <c r="BW244" s="557" t="s">
        <v>2275</v>
      </c>
      <c r="BX244" s="534" t="s">
        <v>2276</v>
      </c>
      <c r="DH244" s="539">
        <f t="shared" si="108"/>
        <v>0</v>
      </c>
      <c r="DI244" s="539">
        <f t="shared" si="109"/>
        <v>0</v>
      </c>
      <c r="DJ244" s="539">
        <f t="shared" si="110"/>
        <v>0</v>
      </c>
      <c r="DK244" s="539" t="s">
        <v>2751</v>
      </c>
      <c r="DL244" s="539" t="e">
        <f>VLOOKUP(DK244,#REF!,2,FALSE)</f>
        <v>#REF!</v>
      </c>
    </row>
    <row r="245" spans="49:116">
      <c r="AW245" s="532"/>
      <c r="AX245" s="532"/>
      <c r="AY245" s="533"/>
      <c r="AZ245" s="532"/>
      <c r="BA245" s="534"/>
      <c r="BB245" s="551">
        <v>5.9113863912301383</v>
      </c>
      <c r="BC245" s="534" t="s">
        <v>2006</v>
      </c>
      <c r="BD245" s="548">
        <v>0.04</v>
      </c>
      <c r="BE245" s="548">
        <v>0.1</v>
      </c>
      <c r="BF245" s="534" t="s">
        <v>2179</v>
      </c>
      <c r="BG245" s="536"/>
      <c r="BH245" s="537" t="e">
        <f t="shared" si="100"/>
        <v>#N/A</v>
      </c>
      <c r="BI245" s="537" t="e">
        <f t="shared" si="101"/>
        <v>#N/A</v>
      </c>
      <c r="BJ245" s="537" t="e">
        <f t="shared" si="102"/>
        <v>#N/A</v>
      </c>
      <c r="BK245" s="537" t="e">
        <f t="shared" si="103"/>
        <v>#N/A</v>
      </c>
      <c r="BL245" s="537" t="e">
        <f t="shared" si="104"/>
        <v>#N/A</v>
      </c>
      <c r="BM245" s="537" t="e">
        <f t="shared" si="105"/>
        <v>#N/A</v>
      </c>
      <c r="BN245" s="537" t="e">
        <f t="shared" si="106"/>
        <v>#N/A</v>
      </c>
      <c r="BO245" s="537" t="e">
        <f t="shared" si="107"/>
        <v>#N/A</v>
      </c>
      <c r="BP245" s="537" t="e">
        <f t="shared" si="96"/>
        <v>#N/A</v>
      </c>
      <c r="BQ245" s="534" t="s">
        <v>1979</v>
      </c>
      <c r="BR245" s="556">
        <v>8.8539999999999994E-2</v>
      </c>
      <c r="BS245" s="556">
        <v>8.8539999999999994E-2</v>
      </c>
      <c r="BT245" s="556">
        <v>1.719E-2</v>
      </c>
      <c r="BU245" s="556">
        <v>7.3859999999999995E-2</v>
      </c>
      <c r="BV245" s="556">
        <v>4.929E-2</v>
      </c>
      <c r="BW245" s="557" t="s">
        <v>2275</v>
      </c>
      <c r="BX245" s="534" t="s">
        <v>2276</v>
      </c>
      <c r="DH245" s="539">
        <f t="shared" si="108"/>
        <v>0</v>
      </c>
      <c r="DI245" s="539">
        <f t="shared" si="109"/>
        <v>0</v>
      </c>
      <c r="DJ245" s="539">
        <f t="shared" si="110"/>
        <v>0</v>
      </c>
      <c r="DK245" s="539" t="e">
        <f>VLOOKUP(DH245,#REF!,1)</f>
        <v>#REF!</v>
      </c>
      <c r="DL245" s="539" t="e">
        <f>VLOOKUP(DK245,#REF!,2,FALSE)</f>
        <v>#REF!</v>
      </c>
    </row>
    <row r="246" spans="49:116">
      <c r="AW246" s="532"/>
      <c r="AX246" s="532"/>
      <c r="AY246" s="533"/>
      <c r="AZ246" s="532"/>
      <c r="BA246" s="534"/>
      <c r="BB246" s="551">
        <v>5.9113863912301383</v>
      </c>
      <c r="BC246" s="534" t="s">
        <v>2006</v>
      </c>
      <c r="BD246" s="548">
        <v>0.04</v>
      </c>
      <c r="BE246" s="548">
        <v>0.1</v>
      </c>
      <c r="BF246" s="534" t="s">
        <v>2179</v>
      </c>
      <c r="BG246" s="536"/>
      <c r="BH246" s="537" t="e">
        <f t="shared" si="100"/>
        <v>#N/A</v>
      </c>
      <c r="BI246" s="537" t="e">
        <f t="shared" si="101"/>
        <v>#N/A</v>
      </c>
      <c r="BJ246" s="537" t="e">
        <f t="shared" si="102"/>
        <v>#N/A</v>
      </c>
      <c r="BK246" s="537" t="e">
        <f t="shared" si="103"/>
        <v>#N/A</v>
      </c>
      <c r="BL246" s="537" t="e">
        <f t="shared" si="104"/>
        <v>#N/A</v>
      </c>
      <c r="BM246" s="537" t="e">
        <f t="shared" si="105"/>
        <v>#N/A</v>
      </c>
      <c r="BN246" s="537" t="e">
        <f t="shared" si="106"/>
        <v>#N/A</v>
      </c>
      <c r="BO246" s="537" t="e">
        <f t="shared" si="107"/>
        <v>#N/A</v>
      </c>
      <c r="BP246" s="537" t="e">
        <f t="shared" si="96"/>
        <v>#N/A</v>
      </c>
      <c r="BQ246" s="534" t="s">
        <v>1979</v>
      </c>
      <c r="BR246" s="556">
        <v>8.8539999999999994E-2</v>
      </c>
      <c r="BS246" s="556">
        <v>8.8539999999999994E-2</v>
      </c>
      <c r="BT246" s="556">
        <v>1.719E-2</v>
      </c>
      <c r="BU246" s="556">
        <v>7.3859999999999995E-2</v>
      </c>
      <c r="BV246" s="556">
        <v>4.929E-2</v>
      </c>
      <c r="BW246" s="557" t="s">
        <v>2275</v>
      </c>
      <c r="BX246" s="534" t="s">
        <v>2276</v>
      </c>
      <c r="DH246" s="539">
        <f t="shared" si="108"/>
        <v>0</v>
      </c>
      <c r="DI246" s="539">
        <f t="shared" si="109"/>
        <v>0</v>
      </c>
      <c r="DJ246" s="539">
        <f t="shared" si="110"/>
        <v>0</v>
      </c>
      <c r="DK246" s="539" t="e">
        <f>VLOOKUP(DH246,#REF!,1)</f>
        <v>#REF!</v>
      </c>
      <c r="DL246" s="539" t="e">
        <f>VLOOKUP(DK246,#REF!,2,FALSE)</f>
        <v>#REF!</v>
      </c>
    </row>
    <row r="247" spans="49:116">
      <c r="AW247" s="532"/>
      <c r="AX247" s="532"/>
      <c r="AY247" s="533"/>
      <c r="AZ247" s="532"/>
      <c r="BA247" s="534"/>
      <c r="BB247" s="551">
        <v>5.9113863912301383</v>
      </c>
      <c r="BC247" s="534" t="s">
        <v>2006</v>
      </c>
      <c r="BD247" s="548">
        <v>0.04</v>
      </c>
      <c r="BE247" s="548">
        <v>0.1</v>
      </c>
      <c r="BF247" s="534" t="s">
        <v>2179</v>
      </c>
      <c r="BG247" s="536"/>
      <c r="BH247" s="537" t="e">
        <f t="shared" si="100"/>
        <v>#N/A</v>
      </c>
      <c r="BI247" s="537" t="e">
        <f t="shared" si="101"/>
        <v>#N/A</v>
      </c>
      <c r="BJ247" s="537" t="e">
        <f t="shared" si="102"/>
        <v>#N/A</v>
      </c>
      <c r="BK247" s="537" t="e">
        <f t="shared" si="103"/>
        <v>#N/A</v>
      </c>
      <c r="BL247" s="537" t="e">
        <f t="shared" si="104"/>
        <v>#N/A</v>
      </c>
      <c r="BM247" s="537" t="e">
        <f t="shared" si="105"/>
        <v>#N/A</v>
      </c>
      <c r="BN247" s="537" t="e">
        <f t="shared" si="106"/>
        <v>#N/A</v>
      </c>
      <c r="BO247" s="537" t="e">
        <f t="shared" si="107"/>
        <v>#N/A</v>
      </c>
      <c r="BP247" s="537" t="e">
        <f t="shared" si="96"/>
        <v>#N/A</v>
      </c>
      <c r="BQ247" s="534" t="s">
        <v>1979</v>
      </c>
      <c r="BR247" s="556">
        <v>8.8539999999999994E-2</v>
      </c>
      <c r="BS247" s="556">
        <v>8.8539999999999994E-2</v>
      </c>
      <c r="BT247" s="556">
        <v>1.719E-2</v>
      </c>
      <c r="BU247" s="556">
        <v>7.3859999999999995E-2</v>
      </c>
      <c r="BV247" s="556">
        <v>4.929E-2</v>
      </c>
      <c r="BW247" s="557" t="s">
        <v>2275</v>
      </c>
      <c r="BX247" s="534" t="s">
        <v>2276</v>
      </c>
      <c r="DH247" s="539">
        <f t="shared" si="108"/>
        <v>0</v>
      </c>
      <c r="DI247" s="539">
        <f t="shared" si="109"/>
        <v>0</v>
      </c>
      <c r="DJ247" s="539">
        <f t="shared" si="110"/>
        <v>0</v>
      </c>
      <c r="DK247" s="539" t="e">
        <f>VLOOKUP(DH247,#REF!,1)</f>
        <v>#REF!</v>
      </c>
      <c r="DL247" s="539" t="e">
        <f>VLOOKUP(DK247,#REF!,2,FALSE)</f>
        <v>#REF!</v>
      </c>
    </row>
    <row r="248" spans="49:116">
      <c r="AW248" s="532"/>
      <c r="AX248" s="532"/>
      <c r="AY248" s="533"/>
      <c r="AZ248" s="532"/>
      <c r="BA248" s="534"/>
      <c r="BB248" s="551">
        <v>5.9113863912301383</v>
      </c>
      <c r="BC248" s="534" t="s">
        <v>2006</v>
      </c>
      <c r="BD248" s="548">
        <v>0.04</v>
      </c>
      <c r="BE248" s="548">
        <v>0.1</v>
      </c>
      <c r="BF248" s="534" t="s">
        <v>2179</v>
      </c>
      <c r="BG248" s="536"/>
      <c r="BH248" s="537" t="e">
        <f t="shared" si="100"/>
        <v>#N/A</v>
      </c>
      <c r="BI248" s="537" t="e">
        <f t="shared" si="101"/>
        <v>#N/A</v>
      </c>
      <c r="BJ248" s="537" t="e">
        <f t="shared" si="102"/>
        <v>#N/A</v>
      </c>
      <c r="BK248" s="537" t="e">
        <f t="shared" si="103"/>
        <v>#N/A</v>
      </c>
      <c r="BL248" s="537" t="e">
        <f t="shared" si="104"/>
        <v>#N/A</v>
      </c>
      <c r="BM248" s="537" t="e">
        <f t="shared" si="105"/>
        <v>#N/A</v>
      </c>
      <c r="BN248" s="537" t="e">
        <f t="shared" si="106"/>
        <v>#N/A</v>
      </c>
      <c r="BO248" s="537" t="e">
        <f t="shared" si="107"/>
        <v>#N/A</v>
      </c>
      <c r="BP248" s="537" t="e">
        <f t="shared" si="96"/>
        <v>#N/A</v>
      </c>
      <c r="BQ248" s="534" t="s">
        <v>1979</v>
      </c>
      <c r="BR248" s="556">
        <v>8.8539999999999994E-2</v>
      </c>
      <c r="BS248" s="556">
        <v>8.8539999999999994E-2</v>
      </c>
      <c r="BT248" s="556">
        <v>1.719E-2</v>
      </c>
      <c r="BU248" s="556">
        <v>7.3859999999999995E-2</v>
      </c>
      <c r="BV248" s="556">
        <v>4.929E-2</v>
      </c>
      <c r="BW248" s="557" t="s">
        <v>2275</v>
      </c>
      <c r="BX248" s="534" t="s">
        <v>2276</v>
      </c>
      <c r="DH248" s="539">
        <f t="shared" si="108"/>
        <v>0</v>
      </c>
      <c r="DI248" s="539">
        <f t="shared" si="109"/>
        <v>0</v>
      </c>
      <c r="DJ248" s="539">
        <f t="shared" si="110"/>
        <v>0</v>
      </c>
      <c r="DK248" s="539" t="e">
        <f>VLOOKUP(DH248,#REF!,1)</f>
        <v>#REF!</v>
      </c>
      <c r="DL248" s="539" t="e">
        <f>VLOOKUP(DK248,#REF!,2,FALSE)</f>
        <v>#REF!</v>
      </c>
    </row>
    <row r="249" spans="49:116">
      <c r="AW249" s="532"/>
      <c r="AX249" s="532"/>
      <c r="AY249" s="533"/>
      <c r="AZ249" s="532"/>
      <c r="BA249" s="534"/>
      <c r="BB249" s="551">
        <v>5.9113863912301383</v>
      </c>
      <c r="BC249" s="534" t="s">
        <v>2006</v>
      </c>
      <c r="BD249" s="548">
        <v>0.04</v>
      </c>
      <c r="BE249" s="548">
        <v>0.1</v>
      </c>
      <c r="BF249" s="534" t="s">
        <v>2179</v>
      </c>
      <c r="BG249" s="536"/>
      <c r="BH249" s="537" t="e">
        <f t="shared" si="100"/>
        <v>#N/A</v>
      </c>
      <c r="BI249" s="537" t="e">
        <f t="shared" si="101"/>
        <v>#N/A</v>
      </c>
      <c r="BJ249" s="537" t="e">
        <f t="shared" si="102"/>
        <v>#N/A</v>
      </c>
      <c r="BK249" s="537" t="e">
        <f t="shared" si="103"/>
        <v>#N/A</v>
      </c>
      <c r="BL249" s="537" t="e">
        <f t="shared" si="104"/>
        <v>#N/A</v>
      </c>
      <c r="BM249" s="537" t="e">
        <f t="shared" si="105"/>
        <v>#N/A</v>
      </c>
      <c r="BN249" s="537" t="e">
        <f t="shared" si="106"/>
        <v>#N/A</v>
      </c>
      <c r="BO249" s="537" t="e">
        <f t="shared" si="107"/>
        <v>#N/A</v>
      </c>
      <c r="BP249" s="537" t="e">
        <f t="shared" si="96"/>
        <v>#N/A</v>
      </c>
      <c r="BQ249" s="534" t="s">
        <v>1979</v>
      </c>
      <c r="BR249" s="556">
        <v>8.8539999999999994E-2</v>
      </c>
      <c r="BS249" s="556">
        <v>8.8539999999999994E-2</v>
      </c>
      <c r="BT249" s="556">
        <v>1.719E-2</v>
      </c>
      <c r="BU249" s="556">
        <v>7.3859999999999995E-2</v>
      </c>
      <c r="BV249" s="556">
        <v>4.929E-2</v>
      </c>
      <c r="BW249" s="557" t="s">
        <v>2275</v>
      </c>
      <c r="BX249" s="534" t="s">
        <v>2276</v>
      </c>
      <c r="DH249" s="539">
        <f t="shared" si="108"/>
        <v>0</v>
      </c>
      <c r="DI249" s="539">
        <f t="shared" si="109"/>
        <v>0</v>
      </c>
      <c r="DJ249" s="539">
        <f t="shared" si="110"/>
        <v>0</v>
      </c>
      <c r="DK249" s="539" t="e">
        <f>VLOOKUP(DH249,#REF!,1)</f>
        <v>#REF!</v>
      </c>
      <c r="DL249" s="539" t="e">
        <f>VLOOKUP(DK249,#REF!,2,FALSE)</f>
        <v>#REF!</v>
      </c>
    </row>
    <row r="250" spans="49:116">
      <c r="AW250" s="532"/>
      <c r="AX250" s="532"/>
      <c r="AY250" s="533"/>
      <c r="AZ250" s="532"/>
      <c r="BA250" s="534"/>
      <c r="BB250" s="551">
        <v>5.9113863912301383</v>
      </c>
      <c r="BC250" s="534" t="s">
        <v>2006</v>
      </c>
      <c r="BD250" s="548">
        <v>0.04</v>
      </c>
      <c r="BE250" s="548">
        <v>0.1</v>
      </c>
      <c r="BF250" s="534" t="s">
        <v>2179</v>
      </c>
      <c r="BG250" s="536"/>
      <c r="BH250" s="537" t="e">
        <f t="shared" si="100"/>
        <v>#N/A</v>
      </c>
      <c r="BI250" s="537" t="e">
        <f t="shared" si="101"/>
        <v>#N/A</v>
      </c>
      <c r="BJ250" s="537" t="e">
        <f t="shared" si="102"/>
        <v>#N/A</v>
      </c>
      <c r="BK250" s="537" t="e">
        <f t="shared" si="103"/>
        <v>#N/A</v>
      </c>
      <c r="BL250" s="537" t="e">
        <f t="shared" si="104"/>
        <v>#N/A</v>
      </c>
      <c r="BM250" s="537" t="e">
        <f t="shared" si="105"/>
        <v>#N/A</v>
      </c>
      <c r="BN250" s="537" t="e">
        <f t="shared" si="106"/>
        <v>#N/A</v>
      </c>
      <c r="BO250" s="537" t="e">
        <f t="shared" si="107"/>
        <v>#N/A</v>
      </c>
      <c r="BP250" s="537" t="e">
        <f t="shared" si="96"/>
        <v>#N/A</v>
      </c>
      <c r="BQ250" s="534" t="s">
        <v>1979</v>
      </c>
      <c r="BR250" s="556">
        <v>8.8539999999999994E-2</v>
      </c>
      <c r="BS250" s="556">
        <v>8.8539999999999994E-2</v>
      </c>
      <c r="BT250" s="556">
        <v>1.719E-2</v>
      </c>
      <c r="BU250" s="556">
        <v>7.3859999999999995E-2</v>
      </c>
      <c r="BV250" s="556">
        <v>4.929E-2</v>
      </c>
      <c r="BW250" s="557" t="s">
        <v>2275</v>
      </c>
      <c r="BX250" s="534" t="s">
        <v>2276</v>
      </c>
      <c r="DH250" s="539">
        <f t="shared" si="108"/>
        <v>0</v>
      </c>
      <c r="DI250" s="539">
        <f t="shared" si="109"/>
        <v>0</v>
      </c>
      <c r="DJ250" s="539">
        <f t="shared" si="110"/>
        <v>0</v>
      </c>
      <c r="DK250" s="539" t="e">
        <f>VLOOKUP(DH250,#REF!,1)</f>
        <v>#REF!</v>
      </c>
      <c r="DL250" s="539" t="e">
        <f>VLOOKUP(DK250,#REF!,2,FALSE)</f>
        <v>#REF!</v>
      </c>
    </row>
    <row r="251" spans="49:116">
      <c r="AW251" s="532"/>
      <c r="AX251" s="532"/>
      <c r="AY251" s="533"/>
      <c r="AZ251" s="532"/>
      <c r="BA251" s="534"/>
      <c r="BB251" s="551">
        <v>5.9113863912301383</v>
      </c>
      <c r="BC251" s="534" t="s">
        <v>2006</v>
      </c>
      <c r="BD251" s="548">
        <v>0.04</v>
      </c>
      <c r="BE251" s="548">
        <v>0.1</v>
      </c>
      <c r="BF251" s="534" t="s">
        <v>2179</v>
      </c>
      <c r="BG251" s="536"/>
      <c r="BH251" s="537" t="e">
        <f t="shared" si="100"/>
        <v>#N/A</v>
      </c>
      <c r="BI251" s="537" t="e">
        <f t="shared" si="101"/>
        <v>#N/A</v>
      </c>
      <c r="BJ251" s="537" t="e">
        <f t="shared" si="102"/>
        <v>#N/A</v>
      </c>
      <c r="BK251" s="537" t="e">
        <f t="shared" si="103"/>
        <v>#N/A</v>
      </c>
      <c r="BL251" s="537" t="e">
        <f t="shared" si="104"/>
        <v>#N/A</v>
      </c>
      <c r="BM251" s="537" t="e">
        <f t="shared" si="105"/>
        <v>#N/A</v>
      </c>
      <c r="BN251" s="537" t="e">
        <f t="shared" si="106"/>
        <v>#N/A</v>
      </c>
      <c r="BO251" s="537" t="e">
        <f t="shared" si="107"/>
        <v>#N/A</v>
      </c>
      <c r="BP251" s="537" t="e">
        <f t="shared" si="96"/>
        <v>#N/A</v>
      </c>
      <c r="BQ251" s="534" t="s">
        <v>1979</v>
      </c>
      <c r="BR251" s="556">
        <v>8.8539999999999994E-2</v>
      </c>
      <c r="BS251" s="556">
        <v>8.8539999999999994E-2</v>
      </c>
      <c r="BT251" s="556">
        <v>1.719E-2</v>
      </c>
      <c r="BU251" s="556">
        <v>7.3859999999999995E-2</v>
      </c>
      <c r="BV251" s="556">
        <v>4.929E-2</v>
      </c>
      <c r="BW251" s="557" t="s">
        <v>2275</v>
      </c>
      <c r="BX251" s="534" t="s">
        <v>2276</v>
      </c>
      <c r="DH251" s="539">
        <f t="shared" si="108"/>
        <v>0</v>
      </c>
      <c r="DI251" s="539">
        <f t="shared" si="109"/>
        <v>0</v>
      </c>
      <c r="DJ251" s="539">
        <f t="shared" si="110"/>
        <v>0</v>
      </c>
      <c r="DK251" s="539" t="e">
        <f>VLOOKUP(DH251,#REF!,1)</f>
        <v>#REF!</v>
      </c>
      <c r="DL251" s="539" t="e">
        <f>VLOOKUP(DK251,#REF!,2,FALSE)</f>
        <v>#REF!</v>
      </c>
    </row>
    <row r="252" spans="49:116">
      <c r="AW252" s="532"/>
      <c r="AX252" s="532"/>
      <c r="AY252" s="533"/>
      <c r="AZ252" s="532"/>
      <c r="BA252" s="534"/>
      <c r="BB252" s="551">
        <v>5.9113863912301383</v>
      </c>
      <c r="BC252" s="534" t="s">
        <v>2006</v>
      </c>
      <c r="BD252" s="548">
        <v>0.04</v>
      </c>
      <c r="BE252" s="548">
        <v>0.1</v>
      </c>
      <c r="BF252" s="534" t="s">
        <v>2179</v>
      </c>
      <c r="BG252" s="536"/>
      <c r="BH252" s="537" t="e">
        <f t="shared" si="100"/>
        <v>#N/A</v>
      </c>
      <c r="BI252" s="537" t="e">
        <f t="shared" si="101"/>
        <v>#N/A</v>
      </c>
      <c r="BJ252" s="537" t="e">
        <f t="shared" si="102"/>
        <v>#N/A</v>
      </c>
      <c r="BK252" s="537" t="e">
        <f t="shared" si="103"/>
        <v>#N/A</v>
      </c>
      <c r="BL252" s="537" t="e">
        <f t="shared" si="104"/>
        <v>#N/A</v>
      </c>
      <c r="BM252" s="537" t="e">
        <f t="shared" si="105"/>
        <v>#N/A</v>
      </c>
      <c r="BN252" s="537" t="e">
        <f t="shared" si="106"/>
        <v>#N/A</v>
      </c>
      <c r="BO252" s="537" t="e">
        <f t="shared" si="107"/>
        <v>#N/A</v>
      </c>
      <c r="BP252" s="537" t="e">
        <f t="shared" si="96"/>
        <v>#N/A</v>
      </c>
      <c r="BQ252" s="534" t="s">
        <v>1979</v>
      </c>
      <c r="BR252" s="556">
        <v>8.8539999999999994E-2</v>
      </c>
      <c r="BS252" s="556">
        <v>8.8539999999999994E-2</v>
      </c>
      <c r="BT252" s="556">
        <v>1.719E-2</v>
      </c>
      <c r="BU252" s="556">
        <v>7.3859999999999995E-2</v>
      </c>
      <c r="BV252" s="556">
        <v>4.929E-2</v>
      </c>
      <c r="BW252" s="557" t="s">
        <v>2275</v>
      </c>
      <c r="BX252" s="534" t="s">
        <v>2276</v>
      </c>
      <c r="DH252" s="539">
        <f t="shared" si="108"/>
        <v>0</v>
      </c>
      <c r="DI252" s="539">
        <f t="shared" si="109"/>
        <v>0</v>
      </c>
      <c r="DJ252" s="539">
        <f t="shared" si="110"/>
        <v>0</v>
      </c>
      <c r="DK252" s="539" t="e">
        <f>VLOOKUP(DH252,#REF!,1)</f>
        <v>#REF!</v>
      </c>
      <c r="DL252" s="539" t="e">
        <f>VLOOKUP(DK252,#REF!,2,FALSE)</f>
        <v>#REF!</v>
      </c>
    </row>
    <row r="253" spans="49:116">
      <c r="AW253" s="532"/>
      <c r="AX253" s="532"/>
      <c r="AY253" s="533"/>
      <c r="AZ253" s="532"/>
      <c r="BA253" s="534"/>
      <c r="BB253" s="551">
        <v>5.9113863912301383</v>
      </c>
      <c r="BC253" s="534" t="s">
        <v>2006</v>
      </c>
      <c r="BD253" s="548">
        <v>0.04</v>
      </c>
      <c r="BE253" s="548">
        <v>0.1</v>
      </c>
      <c r="BF253" s="534" t="s">
        <v>2179</v>
      </c>
      <c r="BG253" s="536"/>
      <c r="BH253" s="537" t="e">
        <f t="shared" si="100"/>
        <v>#N/A</v>
      </c>
      <c r="BI253" s="537" t="e">
        <f t="shared" si="101"/>
        <v>#N/A</v>
      </c>
      <c r="BJ253" s="537" t="e">
        <f t="shared" si="102"/>
        <v>#N/A</v>
      </c>
      <c r="BK253" s="537" t="e">
        <f t="shared" si="103"/>
        <v>#N/A</v>
      </c>
      <c r="BL253" s="537" t="e">
        <f t="shared" si="104"/>
        <v>#N/A</v>
      </c>
      <c r="BM253" s="537" t="e">
        <f t="shared" si="105"/>
        <v>#N/A</v>
      </c>
      <c r="BN253" s="537" t="e">
        <f t="shared" si="106"/>
        <v>#N/A</v>
      </c>
      <c r="BO253" s="537" t="e">
        <f t="shared" si="107"/>
        <v>#N/A</v>
      </c>
      <c r="BP253" s="537" t="e">
        <f t="shared" si="96"/>
        <v>#N/A</v>
      </c>
      <c r="BQ253" s="534" t="s">
        <v>1979</v>
      </c>
      <c r="BR253" s="556">
        <v>8.8539999999999994E-2</v>
      </c>
      <c r="BS253" s="556">
        <v>8.8539999999999994E-2</v>
      </c>
      <c r="BT253" s="556">
        <v>1.719E-2</v>
      </c>
      <c r="BU253" s="556">
        <v>7.3859999999999995E-2</v>
      </c>
      <c r="BV253" s="556">
        <v>4.929E-2</v>
      </c>
      <c r="BW253" s="557" t="s">
        <v>2275</v>
      </c>
      <c r="BX253" s="534" t="s">
        <v>2276</v>
      </c>
      <c r="DH253" s="539">
        <f t="shared" si="108"/>
        <v>0</v>
      </c>
      <c r="DI253" s="539">
        <f t="shared" si="109"/>
        <v>0</v>
      </c>
      <c r="DJ253" s="539">
        <f t="shared" si="110"/>
        <v>0</v>
      </c>
      <c r="DK253" s="539" t="e">
        <f>VLOOKUP(DH253,#REF!,1)</f>
        <v>#REF!</v>
      </c>
      <c r="DL253" s="539" t="e">
        <f>VLOOKUP(DK253,#REF!,2,FALSE)</f>
        <v>#REF!</v>
      </c>
    </row>
    <row r="254" spans="49:116">
      <c r="AW254" s="532"/>
      <c r="AX254" s="532"/>
      <c r="AY254" s="533"/>
      <c r="AZ254" s="532"/>
      <c r="BA254" s="534"/>
      <c r="BB254" s="551">
        <v>5.9113863912301383</v>
      </c>
      <c r="BC254" s="534" t="s">
        <v>2006</v>
      </c>
      <c r="BD254" s="548">
        <v>0.04</v>
      </c>
      <c r="BE254" s="548">
        <v>0.1</v>
      </c>
      <c r="BF254" s="534" t="s">
        <v>2179</v>
      </c>
      <c r="BG254" s="536"/>
      <c r="BH254" s="537" t="e">
        <f t="shared" si="100"/>
        <v>#N/A</v>
      </c>
      <c r="BI254" s="537" t="e">
        <f t="shared" si="101"/>
        <v>#N/A</v>
      </c>
      <c r="BJ254" s="537" t="e">
        <f t="shared" si="102"/>
        <v>#N/A</v>
      </c>
      <c r="BK254" s="537" t="e">
        <f t="shared" si="103"/>
        <v>#N/A</v>
      </c>
      <c r="BL254" s="537" t="e">
        <f t="shared" si="104"/>
        <v>#N/A</v>
      </c>
      <c r="BM254" s="537" t="e">
        <f t="shared" si="105"/>
        <v>#N/A</v>
      </c>
      <c r="BN254" s="537" t="e">
        <f t="shared" si="106"/>
        <v>#N/A</v>
      </c>
      <c r="BO254" s="537" t="e">
        <f t="shared" si="107"/>
        <v>#N/A</v>
      </c>
      <c r="BP254" s="537" t="e">
        <f t="shared" si="96"/>
        <v>#N/A</v>
      </c>
      <c r="BQ254" s="534" t="s">
        <v>1979</v>
      </c>
      <c r="BR254" s="556">
        <v>8.8539999999999994E-2</v>
      </c>
      <c r="BS254" s="556">
        <v>8.8539999999999994E-2</v>
      </c>
      <c r="BT254" s="556">
        <v>1.719E-2</v>
      </c>
      <c r="BU254" s="556">
        <v>7.3859999999999995E-2</v>
      </c>
      <c r="BV254" s="556">
        <v>4.929E-2</v>
      </c>
      <c r="BW254" s="557" t="s">
        <v>2275</v>
      </c>
      <c r="BX254" s="534" t="s">
        <v>2276</v>
      </c>
      <c r="DH254" s="539">
        <f t="shared" si="108"/>
        <v>0</v>
      </c>
      <c r="DI254" s="539">
        <f t="shared" si="109"/>
        <v>0</v>
      </c>
      <c r="DJ254" s="539">
        <f t="shared" si="110"/>
        <v>0</v>
      </c>
      <c r="DK254" s="539" t="e">
        <f>VLOOKUP(DH254,#REF!,1)</f>
        <v>#REF!</v>
      </c>
      <c r="DL254" s="539" t="e">
        <f>VLOOKUP(DK254,#REF!,2,FALSE)</f>
        <v>#REF!</v>
      </c>
    </row>
    <row r="255" spans="49:116">
      <c r="AW255" s="532"/>
      <c r="AX255" s="532"/>
      <c r="AY255" s="533"/>
      <c r="AZ255" s="532"/>
      <c r="BA255" s="534"/>
      <c r="BB255" s="551">
        <v>5.9113863912301383</v>
      </c>
      <c r="BC255" s="534" t="s">
        <v>2006</v>
      </c>
      <c r="BD255" s="548">
        <v>0.04</v>
      </c>
      <c r="BE255" s="548">
        <v>0.1</v>
      </c>
      <c r="BF255" s="534" t="s">
        <v>2179</v>
      </c>
      <c r="BG255" s="536"/>
      <c r="BH255" s="537" t="e">
        <f t="shared" si="100"/>
        <v>#N/A</v>
      </c>
      <c r="BI255" s="537" t="e">
        <f t="shared" si="101"/>
        <v>#N/A</v>
      </c>
      <c r="BJ255" s="537" t="e">
        <f t="shared" si="102"/>
        <v>#N/A</v>
      </c>
      <c r="BK255" s="537" t="e">
        <f t="shared" si="103"/>
        <v>#N/A</v>
      </c>
      <c r="BL255" s="537" t="e">
        <f t="shared" si="104"/>
        <v>#N/A</v>
      </c>
      <c r="BM255" s="537" t="e">
        <f t="shared" si="105"/>
        <v>#N/A</v>
      </c>
      <c r="BN255" s="537" t="e">
        <f t="shared" si="106"/>
        <v>#N/A</v>
      </c>
      <c r="BO255" s="537" t="e">
        <f t="shared" si="107"/>
        <v>#N/A</v>
      </c>
      <c r="BP255" s="537" t="e">
        <f t="shared" si="96"/>
        <v>#N/A</v>
      </c>
      <c r="BQ255" s="534" t="s">
        <v>1979</v>
      </c>
      <c r="BR255" s="556">
        <v>8.8539999999999994E-2</v>
      </c>
      <c r="BS255" s="556">
        <v>8.8539999999999994E-2</v>
      </c>
      <c r="BT255" s="556">
        <v>1.719E-2</v>
      </c>
      <c r="BU255" s="556">
        <v>7.3859999999999995E-2</v>
      </c>
      <c r="BV255" s="556">
        <v>4.929E-2</v>
      </c>
      <c r="BW255" s="557" t="s">
        <v>2275</v>
      </c>
      <c r="BX255" s="534" t="s">
        <v>2276</v>
      </c>
      <c r="DH255" s="539">
        <f t="shared" si="108"/>
        <v>0</v>
      </c>
      <c r="DI255" s="539">
        <f t="shared" si="109"/>
        <v>0</v>
      </c>
      <c r="DJ255" s="539">
        <f t="shared" si="110"/>
        <v>0</v>
      </c>
      <c r="DK255" s="539" t="e">
        <f>VLOOKUP(DH255,#REF!,1)</f>
        <v>#REF!</v>
      </c>
      <c r="DL255" s="539" t="e">
        <f>VLOOKUP(DK255,#REF!,2,FALSE)</f>
        <v>#REF!</v>
      </c>
    </row>
    <row r="256" spans="49:116">
      <c r="AW256" s="532"/>
      <c r="AX256" s="532"/>
      <c r="AY256" s="533"/>
      <c r="AZ256" s="532"/>
      <c r="BA256" s="534"/>
      <c r="BB256" s="551">
        <v>5.9113863912301383</v>
      </c>
      <c r="BC256" s="534" t="s">
        <v>2006</v>
      </c>
      <c r="BD256" s="548">
        <v>0.04</v>
      </c>
      <c r="BE256" s="548">
        <v>0.1</v>
      </c>
      <c r="BF256" s="534" t="s">
        <v>2179</v>
      </c>
      <c r="BG256" s="536"/>
      <c r="BH256" s="537" t="e">
        <f t="shared" ref="BH256:BH280" si="111">+VLOOKUP($AY256,$BZ$3:$CH$21,2,FALSE)</f>
        <v>#N/A</v>
      </c>
      <c r="BI256" s="537" t="e">
        <f t="shared" ref="BI256:BI280" si="112">+VLOOKUP($AY256,$BZ$3:$CH$21,3,FALSE)</f>
        <v>#N/A</v>
      </c>
      <c r="BJ256" s="537" t="e">
        <f t="shared" ref="BJ256:BJ280" si="113">+VLOOKUP($AY256,$BZ$3:$CH$21,4,FALSE)</f>
        <v>#N/A</v>
      </c>
      <c r="BK256" s="537" t="e">
        <f t="shared" ref="BK256:BK280" si="114">+VLOOKUP($AY256,$BZ$3:$CH$21,5,FALSE)</f>
        <v>#N/A</v>
      </c>
      <c r="BL256" s="537" t="e">
        <f t="shared" ref="BL256:BL280" si="115">+VLOOKUP($AY256,$BZ$3:$CH$21,6,FALSE)</f>
        <v>#N/A</v>
      </c>
      <c r="BM256" s="537" t="e">
        <f t="shared" ref="BM256:BM280" si="116">+VLOOKUP($AY256,$BZ$3:$CH$21,7,FALSE)</f>
        <v>#N/A</v>
      </c>
      <c r="BN256" s="537" t="e">
        <f t="shared" ref="BN256:BN280" si="117">+VLOOKUP($AY256,$BZ$3:$CH$21,8,FALSE)</f>
        <v>#N/A</v>
      </c>
      <c r="BO256" s="537" t="e">
        <f t="shared" ref="BO256:BO280" si="118">+VLOOKUP($AY256,$BZ$3:$CH$21,9,FALSE)</f>
        <v>#N/A</v>
      </c>
      <c r="BP256" s="537" t="e">
        <f t="shared" si="96"/>
        <v>#N/A</v>
      </c>
      <c r="BQ256" s="534" t="s">
        <v>1979</v>
      </c>
      <c r="BR256" s="556">
        <v>8.8539999999999994E-2</v>
      </c>
      <c r="BS256" s="556">
        <v>8.8539999999999994E-2</v>
      </c>
      <c r="BT256" s="556">
        <v>1.719E-2</v>
      </c>
      <c r="BU256" s="556">
        <v>7.3859999999999995E-2</v>
      </c>
      <c r="BV256" s="556">
        <v>4.929E-2</v>
      </c>
      <c r="BW256" s="557" t="s">
        <v>2275</v>
      </c>
      <c r="BX256" s="534" t="s">
        <v>2276</v>
      </c>
      <c r="DH256" s="539">
        <f t="shared" si="108"/>
        <v>0</v>
      </c>
      <c r="DI256" s="539">
        <f t="shared" si="109"/>
        <v>0</v>
      </c>
      <c r="DJ256" s="539">
        <f t="shared" si="110"/>
        <v>0</v>
      </c>
      <c r="DK256" s="539" t="e">
        <f>VLOOKUP(DH256,#REF!,1)</f>
        <v>#REF!</v>
      </c>
      <c r="DL256" s="539" t="e">
        <f>VLOOKUP(DK256,#REF!,2,FALSE)</f>
        <v>#REF!</v>
      </c>
    </row>
    <row r="257" spans="49:116">
      <c r="AW257" s="532"/>
      <c r="AX257" s="532"/>
      <c r="AY257" s="533"/>
      <c r="AZ257" s="532"/>
      <c r="BA257" s="534"/>
      <c r="BB257" s="551">
        <v>5.9113863912301383</v>
      </c>
      <c r="BC257" s="534" t="s">
        <v>2006</v>
      </c>
      <c r="BD257" s="548">
        <v>0.04</v>
      </c>
      <c r="BE257" s="548">
        <v>0.1</v>
      </c>
      <c r="BF257" s="534" t="s">
        <v>2179</v>
      </c>
      <c r="BG257" s="536"/>
      <c r="BH257" s="537" t="e">
        <f t="shared" si="111"/>
        <v>#N/A</v>
      </c>
      <c r="BI257" s="537" t="e">
        <f t="shared" si="112"/>
        <v>#N/A</v>
      </c>
      <c r="BJ257" s="537" t="e">
        <f t="shared" si="113"/>
        <v>#N/A</v>
      </c>
      <c r="BK257" s="537" t="e">
        <f t="shared" si="114"/>
        <v>#N/A</v>
      </c>
      <c r="BL257" s="537" t="e">
        <f t="shared" si="115"/>
        <v>#N/A</v>
      </c>
      <c r="BM257" s="537" t="e">
        <f t="shared" si="116"/>
        <v>#N/A</v>
      </c>
      <c r="BN257" s="537" t="e">
        <f t="shared" si="117"/>
        <v>#N/A</v>
      </c>
      <c r="BO257" s="537" t="e">
        <f t="shared" si="118"/>
        <v>#N/A</v>
      </c>
      <c r="BP257" s="537" t="e">
        <f t="shared" si="96"/>
        <v>#N/A</v>
      </c>
      <c r="BQ257" s="534" t="s">
        <v>1979</v>
      </c>
      <c r="BR257" s="556">
        <v>8.8539999999999994E-2</v>
      </c>
      <c r="BS257" s="556">
        <v>8.8539999999999994E-2</v>
      </c>
      <c r="BT257" s="556">
        <v>1.719E-2</v>
      </c>
      <c r="BU257" s="556">
        <v>7.3859999999999995E-2</v>
      </c>
      <c r="BV257" s="556">
        <v>4.929E-2</v>
      </c>
      <c r="BW257" s="557" t="s">
        <v>2275</v>
      </c>
      <c r="BX257" s="534" t="s">
        <v>2276</v>
      </c>
      <c r="DH257" s="539">
        <f t="shared" si="108"/>
        <v>0</v>
      </c>
      <c r="DI257" s="539">
        <f t="shared" si="109"/>
        <v>0</v>
      </c>
      <c r="DJ257" s="539">
        <f t="shared" si="110"/>
        <v>0</v>
      </c>
      <c r="DK257" s="539" t="e">
        <f>VLOOKUP(DH257,#REF!,1)</f>
        <v>#REF!</v>
      </c>
      <c r="DL257" s="539" t="e">
        <f>VLOOKUP(DK257,#REF!,2,FALSE)</f>
        <v>#REF!</v>
      </c>
    </row>
    <row r="258" spans="49:116">
      <c r="AW258" s="532"/>
      <c r="AX258" s="532"/>
      <c r="AY258" s="533"/>
      <c r="AZ258" s="532"/>
      <c r="BA258" s="534"/>
      <c r="BB258" s="551">
        <v>5.9113863912301383</v>
      </c>
      <c r="BC258" s="534" t="s">
        <v>2006</v>
      </c>
      <c r="BD258" s="548">
        <v>0.04</v>
      </c>
      <c r="BE258" s="548">
        <v>0.1</v>
      </c>
      <c r="BF258" s="534" t="s">
        <v>2179</v>
      </c>
      <c r="BG258" s="536"/>
      <c r="BH258" s="537" t="e">
        <f t="shared" si="111"/>
        <v>#N/A</v>
      </c>
      <c r="BI258" s="537" t="e">
        <f t="shared" si="112"/>
        <v>#N/A</v>
      </c>
      <c r="BJ258" s="537" t="e">
        <f t="shared" si="113"/>
        <v>#N/A</v>
      </c>
      <c r="BK258" s="537" t="e">
        <f t="shared" si="114"/>
        <v>#N/A</v>
      </c>
      <c r="BL258" s="537" t="e">
        <f t="shared" si="115"/>
        <v>#N/A</v>
      </c>
      <c r="BM258" s="537" t="e">
        <f t="shared" si="116"/>
        <v>#N/A</v>
      </c>
      <c r="BN258" s="537" t="e">
        <f t="shared" si="117"/>
        <v>#N/A</v>
      </c>
      <c r="BO258" s="537" t="e">
        <f t="shared" si="118"/>
        <v>#N/A</v>
      </c>
      <c r="BP258" s="537" t="e">
        <f t="shared" si="96"/>
        <v>#N/A</v>
      </c>
      <c r="BQ258" s="534" t="s">
        <v>1979</v>
      </c>
      <c r="BR258" s="556">
        <v>8.8539999999999994E-2</v>
      </c>
      <c r="BS258" s="556">
        <v>8.8539999999999994E-2</v>
      </c>
      <c r="BT258" s="556">
        <v>1.719E-2</v>
      </c>
      <c r="BU258" s="556">
        <v>7.3859999999999995E-2</v>
      </c>
      <c r="BV258" s="556">
        <v>4.929E-2</v>
      </c>
      <c r="BW258" s="557" t="s">
        <v>2275</v>
      </c>
      <c r="BX258" s="534" t="s">
        <v>2276</v>
      </c>
      <c r="DH258" s="539">
        <f t="shared" si="108"/>
        <v>0</v>
      </c>
      <c r="DI258" s="539">
        <f t="shared" si="109"/>
        <v>0</v>
      </c>
      <c r="DJ258" s="539">
        <f t="shared" si="110"/>
        <v>0</v>
      </c>
      <c r="DK258" s="539" t="e">
        <f>VLOOKUP(DH258,#REF!,1)</f>
        <v>#REF!</v>
      </c>
      <c r="DL258" s="539" t="e">
        <f>VLOOKUP(DK258,#REF!,2,FALSE)</f>
        <v>#REF!</v>
      </c>
    </row>
    <row r="259" spans="49:116">
      <c r="AW259" s="532"/>
      <c r="AX259" s="532"/>
      <c r="AY259" s="533"/>
      <c r="AZ259" s="532"/>
      <c r="BA259" s="534"/>
      <c r="BB259" s="551">
        <v>5.9113863912301383</v>
      </c>
      <c r="BC259" s="534" t="s">
        <v>2006</v>
      </c>
      <c r="BD259" s="548">
        <v>0.04</v>
      </c>
      <c r="BE259" s="548">
        <v>0.1</v>
      </c>
      <c r="BF259" s="534" t="s">
        <v>2179</v>
      </c>
      <c r="BG259" s="536"/>
      <c r="BH259" s="537" t="e">
        <f t="shared" si="111"/>
        <v>#N/A</v>
      </c>
      <c r="BI259" s="537" t="e">
        <f t="shared" si="112"/>
        <v>#N/A</v>
      </c>
      <c r="BJ259" s="537" t="e">
        <f t="shared" si="113"/>
        <v>#N/A</v>
      </c>
      <c r="BK259" s="537" t="e">
        <f t="shared" si="114"/>
        <v>#N/A</v>
      </c>
      <c r="BL259" s="537" t="e">
        <f t="shared" si="115"/>
        <v>#N/A</v>
      </c>
      <c r="BM259" s="537" t="e">
        <f t="shared" si="116"/>
        <v>#N/A</v>
      </c>
      <c r="BN259" s="537" t="e">
        <f t="shared" si="117"/>
        <v>#N/A</v>
      </c>
      <c r="BO259" s="537" t="e">
        <f t="shared" si="118"/>
        <v>#N/A</v>
      </c>
      <c r="BP259" s="537" t="e">
        <f t="shared" si="96"/>
        <v>#N/A</v>
      </c>
      <c r="BQ259" s="534" t="s">
        <v>1979</v>
      </c>
      <c r="BR259" s="556">
        <v>8.8539999999999994E-2</v>
      </c>
      <c r="BS259" s="556">
        <v>8.8539999999999994E-2</v>
      </c>
      <c r="BT259" s="556">
        <v>1.719E-2</v>
      </c>
      <c r="BU259" s="556">
        <v>7.3859999999999995E-2</v>
      </c>
      <c r="BV259" s="556">
        <v>4.929E-2</v>
      </c>
      <c r="BW259" s="557" t="s">
        <v>2275</v>
      </c>
      <c r="BX259" s="534" t="s">
        <v>2276</v>
      </c>
      <c r="DH259" s="539">
        <f t="shared" si="108"/>
        <v>0</v>
      </c>
      <c r="DI259" s="539">
        <f t="shared" si="109"/>
        <v>0</v>
      </c>
      <c r="DJ259" s="539">
        <f t="shared" si="110"/>
        <v>0</v>
      </c>
      <c r="DK259" s="539" t="e">
        <f>VLOOKUP(DH259,#REF!,1)</f>
        <v>#REF!</v>
      </c>
      <c r="DL259" s="539" t="e">
        <f>VLOOKUP(DK259,#REF!,2,FALSE)</f>
        <v>#REF!</v>
      </c>
    </row>
    <row r="260" spans="49:116">
      <c r="AW260" s="532"/>
      <c r="AX260" s="532"/>
      <c r="AY260" s="533"/>
      <c r="AZ260" s="532"/>
      <c r="BA260" s="534"/>
      <c r="BB260" s="551">
        <v>5.9113863912301383</v>
      </c>
      <c r="BC260" s="534" t="s">
        <v>2006</v>
      </c>
      <c r="BD260" s="548">
        <v>0.04</v>
      </c>
      <c r="BE260" s="548">
        <v>0.1</v>
      </c>
      <c r="BF260" s="534" t="s">
        <v>2179</v>
      </c>
      <c r="BG260" s="536"/>
      <c r="BH260" s="537" t="e">
        <f t="shared" si="111"/>
        <v>#N/A</v>
      </c>
      <c r="BI260" s="537" t="e">
        <f t="shared" si="112"/>
        <v>#N/A</v>
      </c>
      <c r="BJ260" s="537" t="e">
        <f t="shared" si="113"/>
        <v>#N/A</v>
      </c>
      <c r="BK260" s="537" t="e">
        <f t="shared" si="114"/>
        <v>#N/A</v>
      </c>
      <c r="BL260" s="537" t="e">
        <f t="shared" si="115"/>
        <v>#N/A</v>
      </c>
      <c r="BM260" s="537" t="e">
        <f t="shared" si="116"/>
        <v>#N/A</v>
      </c>
      <c r="BN260" s="537" t="e">
        <f t="shared" si="117"/>
        <v>#N/A</v>
      </c>
      <c r="BO260" s="537" t="e">
        <f t="shared" si="118"/>
        <v>#N/A</v>
      </c>
      <c r="BP260" s="537" t="e">
        <f t="shared" ref="BP260:BP280" si="119">+SUM(BH260:BO260)</f>
        <v>#N/A</v>
      </c>
      <c r="BQ260" s="534" t="s">
        <v>1979</v>
      </c>
      <c r="BR260" s="556">
        <v>8.8539999999999994E-2</v>
      </c>
      <c r="BS260" s="556">
        <v>8.8539999999999994E-2</v>
      </c>
      <c r="BT260" s="556">
        <v>1.719E-2</v>
      </c>
      <c r="BU260" s="556">
        <v>7.3859999999999995E-2</v>
      </c>
      <c r="BV260" s="556">
        <v>4.929E-2</v>
      </c>
      <c r="BW260" s="557" t="s">
        <v>2275</v>
      </c>
      <c r="BX260" s="534" t="s">
        <v>2276</v>
      </c>
      <c r="DH260" s="539">
        <f t="shared" si="108"/>
        <v>0</v>
      </c>
      <c r="DI260" s="539">
        <f t="shared" si="109"/>
        <v>0</v>
      </c>
      <c r="DJ260" s="539">
        <f t="shared" si="110"/>
        <v>0</v>
      </c>
      <c r="DK260" s="539" t="e">
        <f>VLOOKUP(DH260,#REF!,1)</f>
        <v>#REF!</v>
      </c>
      <c r="DL260" s="539" t="e">
        <f>VLOOKUP(DK260,#REF!,2,FALSE)</f>
        <v>#REF!</v>
      </c>
    </row>
    <row r="261" spans="49:116">
      <c r="AW261" s="532"/>
      <c r="AX261" s="532"/>
      <c r="AY261" s="533"/>
      <c r="AZ261" s="532"/>
      <c r="BA261" s="534"/>
      <c r="BB261" s="551">
        <v>5.9113863912301383</v>
      </c>
      <c r="BC261" s="534" t="s">
        <v>2006</v>
      </c>
      <c r="BD261" s="548">
        <v>0.04</v>
      </c>
      <c r="BE261" s="548">
        <v>0.1</v>
      </c>
      <c r="BF261" s="534" t="s">
        <v>2179</v>
      </c>
      <c r="BG261" s="536"/>
      <c r="BH261" s="537" t="e">
        <f t="shared" si="111"/>
        <v>#N/A</v>
      </c>
      <c r="BI261" s="537" t="e">
        <f t="shared" si="112"/>
        <v>#N/A</v>
      </c>
      <c r="BJ261" s="537" t="e">
        <f t="shared" si="113"/>
        <v>#N/A</v>
      </c>
      <c r="BK261" s="537" t="e">
        <f t="shared" si="114"/>
        <v>#N/A</v>
      </c>
      <c r="BL261" s="537" t="e">
        <f t="shared" si="115"/>
        <v>#N/A</v>
      </c>
      <c r="BM261" s="537" t="e">
        <f t="shared" si="116"/>
        <v>#N/A</v>
      </c>
      <c r="BN261" s="537" t="e">
        <f t="shared" si="117"/>
        <v>#N/A</v>
      </c>
      <c r="BO261" s="537" t="e">
        <f t="shared" si="118"/>
        <v>#N/A</v>
      </c>
      <c r="BP261" s="537" t="e">
        <f t="shared" si="119"/>
        <v>#N/A</v>
      </c>
      <c r="BQ261" s="534" t="s">
        <v>1979</v>
      </c>
      <c r="BR261" s="556">
        <v>8.8539999999999994E-2</v>
      </c>
      <c r="BS261" s="556">
        <v>8.8539999999999994E-2</v>
      </c>
      <c r="BT261" s="556">
        <v>1.719E-2</v>
      </c>
      <c r="BU261" s="556">
        <v>7.3859999999999995E-2</v>
      </c>
      <c r="BV261" s="556">
        <v>4.929E-2</v>
      </c>
      <c r="BW261" s="557" t="s">
        <v>2275</v>
      </c>
      <c r="BX261" s="534" t="s">
        <v>2276</v>
      </c>
      <c r="DH261" s="539">
        <f t="shared" si="108"/>
        <v>0</v>
      </c>
      <c r="DI261" s="539">
        <f t="shared" si="109"/>
        <v>0</v>
      </c>
      <c r="DJ261" s="539">
        <f t="shared" si="110"/>
        <v>0</v>
      </c>
      <c r="DK261" s="539" t="e">
        <f>VLOOKUP(DH261,#REF!,1)</f>
        <v>#REF!</v>
      </c>
      <c r="DL261" s="539" t="e">
        <f>VLOOKUP(DK261,#REF!,2,FALSE)</f>
        <v>#REF!</v>
      </c>
    </row>
    <row r="262" spans="49:116">
      <c r="AW262" s="532"/>
      <c r="AX262" s="532"/>
      <c r="AY262" s="533"/>
      <c r="AZ262" s="532"/>
      <c r="BA262" s="534"/>
      <c r="BB262" s="551">
        <v>5.9113863912301383</v>
      </c>
      <c r="BC262" s="534" t="s">
        <v>2006</v>
      </c>
      <c r="BD262" s="548">
        <v>0.04</v>
      </c>
      <c r="BE262" s="548">
        <v>0.1</v>
      </c>
      <c r="BF262" s="534" t="s">
        <v>2179</v>
      </c>
      <c r="BG262" s="536"/>
      <c r="BH262" s="537" t="e">
        <f t="shared" si="111"/>
        <v>#N/A</v>
      </c>
      <c r="BI262" s="537" t="e">
        <f t="shared" si="112"/>
        <v>#N/A</v>
      </c>
      <c r="BJ262" s="537" t="e">
        <f t="shared" si="113"/>
        <v>#N/A</v>
      </c>
      <c r="BK262" s="537" t="e">
        <f t="shared" si="114"/>
        <v>#N/A</v>
      </c>
      <c r="BL262" s="537" t="e">
        <f t="shared" si="115"/>
        <v>#N/A</v>
      </c>
      <c r="BM262" s="537" t="e">
        <f t="shared" si="116"/>
        <v>#N/A</v>
      </c>
      <c r="BN262" s="537" t="e">
        <f t="shared" si="117"/>
        <v>#N/A</v>
      </c>
      <c r="BO262" s="537" t="e">
        <f t="shared" si="118"/>
        <v>#N/A</v>
      </c>
      <c r="BP262" s="537" t="e">
        <f t="shared" si="119"/>
        <v>#N/A</v>
      </c>
      <c r="BQ262" s="534" t="s">
        <v>1979</v>
      </c>
      <c r="BR262" s="556">
        <v>8.8539999999999994E-2</v>
      </c>
      <c r="BS262" s="556">
        <v>8.8539999999999994E-2</v>
      </c>
      <c r="BT262" s="556">
        <v>1.719E-2</v>
      </c>
      <c r="BU262" s="556">
        <v>7.3859999999999995E-2</v>
      </c>
      <c r="BV262" s="556">
        <v>4.929E-2</v>
      </c>
      <c r="BW262" s="557" t="s">
        <v>2275</v>
      </c>
      <c r="BX262" s="534" t="s">
        <v>2276</v>
      </c>
      <c r="DH262" s="539">
        <f t="shared" si="108"/>
        <v>0</v>
      </c>
      <c r="DI262" s="539">
        <f t="shared" si="109"/>
        <v>0</v>
      </c>
      <c r="DJ262" s="539">
        <f t="shared" si="110"/>
        <v>0</v>
      </c>
      <c r="DK262" s="539" t="e">
        <f>VLOOKUP(DH262,#REF!,1)</f>
        <v>#REF!</v>
      </c>
      <c r="DL262" s="539" t="e">
        <f>VLOOKUP(DK262,#REF!,2,FALSE)</f>
        <v>#REF!</v>
      </c>
    </row>
    <row r="263" spans="49:116">
      <c r="AW263" s="532"/>
      <c r="AX263" s="532"/>
      <c r="AY263" s="533"/>
      <c r="AZ263" s="532"/>
      <c r="BA263" s="534"/>
      <c r="BB263" s="551">
        <v>5.9113863912301383</v>
      </c>
      <c r="BC263" s="534" t="s">
        <v>2006</v>
      </c>
      <c r="BD263" s="548">
        <v>0.04</v>
      </c>
      <c r="BE263" s="548">
        <v>0.1</v>
      </c>
      <c r="BF263" s="534" t="s">
        <v>2179</v>
      </c>
      <c r="BG263" s="536"/>
      <c r="BH263" s="537" t="e">
        <f t="shared" si="111"/>
        <v>#N/A</v>
      </c>
      <c r="BI263" s="537" t="e">
        <f t="shared" si="112"/>
        <v>#N/A</v>
      </c>
      <c r="BJ263" s="537" t="e">
        <f t="shared" si="113"/>
        <v>#N/A</v>
      </c>
      <c r="BK263" s="537" t="e">
        <f t="shared" si="114"/>
        <v>#N/A</v>
      </c>
      <c r="BL263" s="537" t="e">
        <f t="shared" si="115"/>
        <v>#N/A</v>
      </c>
      <c r="BM263" s="537" t="e">
        <f t="shared" si="116"/>
        <v>#N/A</v>
      </c>
      <c r="BN263" s="537" t="e">
        <f t="shared" si="117"/>
        <v>#N/A</v>
      </c>
      <c r="BO263" s="537" t="e">
        <f t="shared" si="118"/>
        <v>#N/A</v>
      </c>
      <c r="BP263" s="537" t="e">
        <f t="shared" si="119"/>
        <v>#N/A</v>
      </c>
      <c r="BQ263" s="534" t="s">
        <v>1979</v>
      </c>
      <c r="BR263" s="556">
        <v>8.8539999999999994E-2</v>
      </c>
      <c r="BS263" s="556">
        <v>8.8539999999999994E-2</v>
      </c>
      <c r="BT263" s="556">
        <v>1.719E-2</v>
      </c>
      <c r="BU263" s="556">
        <v>7.3859999999999995E-2</v>
      </c>
      <c r="BV263" s="556">
        <v>4.929E-2</v>
      </c>
      <c r="BW263" s="557" t="s">
        <v>2275</v>
      </c>
      <c r="BX263" s="534" t="s">
        <v>2276</v>
      </c>
      <c r="DH263" s="539">
        <f t="shared" si="108"/>
        <v>0</v>
      </c>
      <c r="DI263" s="539">
        <f t="shared" si="109"/>
        <v>0</v>
      </c>
      <c r="DJ263" s="539">
        <f t="shared" si="110"/>
        <v>0</v>
      </c>
      <c r="DK263" s="539" t="e">
        <f>VLOOKUP(DH263,#REF!,1)</f>
        <v>#REF!</v>
      </c>
      <c r="DL263" s="539" t="e">
        <f>VLOOKUP(DK263,#REF!,2,FALSE)</f>
        <v>#REF!</v>
      </c>
    </row>
    <row r="264" spans="49:116">
      <c r="AW264" s="532"/>
      <c r="AX264" s="532"/>
      <c r="AY264" s="533"/>
      <c r="AZ264" s="532"/>
      <c r="BA264" s="534"/>
      <c r="BB264" s="551">
        <v>5.9113863912301383</v>
      </c>
      <c r="BC264" s="534" t="s">
        <v>2006</v>
      </c>
      <c r="BD264" s="548">
        <v>0.04</v>
      </c>
      <c r="BE264" s="548">
        <v>0.1</v>
      </c>
      <c r="BF264" s="534" t="s">
        <v>2179</v>
      </c>
      <c r="BG264" s="536"/>
      <c r="BH264" s="537" t="e">
        <f t="shared" si="111"/>
        <v>#N/A</v>
      </c>
      <c r="BI264" s="537" t="e">
        <f t="shared" si="112"/>
        <v>#N/A</v>
      </c>
      <c r="BJ264" s="537" t="e">
        <f t="shared" si="113"/>
        <v>#N/A</v>
      </c>
      <c r="BK264" s="537" t="e">
        <f t="shared" si="114"/>
        <v>#N/A</v>
      </c>
      <c r="BL264" s="537" t="e">
        <f t="shared" si="115"/>
        <v>#N/A</v>
      </c>
      <c r="BM264" s="537" t="e">
        <f t="shared" si="116"/>
        <v>#N/A</v>
      </c>
      <c r="BN264" s="537" t="e">
        <f t="shared" si="117"/>
        <v>#N/A</v>
      </c>
      <c r="BO264" s="537" t="e">
        <f t="shared" si="118"/>
        <v>#N/A</v>
      </c>
      <c r="BP264" s="537" t="e">
        <f t="shared" si="119"/>
        <v>#N/A</v>
      </c>
      <c r="BQ264" s="534" t="s">
        <v>1979</v>
      </c>
      <c r="BR264" s="556">
        <v>8.8539999999999994E-2</v>
      </c>
      <c r="BS264" s="556">
        <v>8.8539999999999994E-2</v>
      </c>
      <c r="BT264" s="556">
        <v>1.719E-2</v>
      </c>
      <c r="BU264" s="556">
        <v>7.3859999999999995E-2</v>
      </c>
      <c r="BV264" s="556">
        <v>4.929E-2</v>
      </c>
      <c r="BW264" s="557" t="s">
        <v>2275</v>
      </c>
      <c r="BX264" s="534" t="s">
        <v>2276</v>
      </c>
      <c r="DH264" s="539">
        <f t="shared" si="108"/>
        <v>0</v>
      </c>
      <c r="DI264" s="539">
        <f t="shared" si="109"/>
        <v>0</v>
      </c>
      <c r="DJ264" s="539">
        <f t="shared" si="110"/>
        <v>0</v>
      </c>
      <c r="DK264" s="539" t="e">
        <f>VLOOKUP(DH264,#REF!,1)</f>
        <v>#REF!</v>
      </c>
      <c r="DL264" s="539" t="e">
        <f>VLOOKUP(DK264,#REF!,2,FALSE)</f>
        <v>#REF!</v>
      </c>
    </row>
    <row r="265" spans="49:116">
      <c r="AW265" s="532"/>
      <c r="AX265" s="532"/>
      <c r="AY265" s="533"/>
      <c r="AZ265" s="532"/>
      <c r="BA265" s="534"/>
      <c r="BB265" s="551">
        <v>5.9113863912301383</v>
      </c>
      <c r="BC265" s="534" t="s">
        <v>2006</v>
      </c>
      <c r="BD265" s="548">
        <v>0.04</v>
      </c>
      <c r="BE265" s="548">
        <v>0.1</v>
      </c>
      <c r="BF265" s="534" t="s">
        <v>2179</v>
      </c>
      <c r="BG265" s="536"/>
      <c r="BH265" s="537" t="e">
        <f t="shared" si="111"/>
        <v>#N/A</v>
      </c>
      <c r="BI265" s="537" t="e">
        <f t="shared" si="112"/>
        <v>#N/A</v>
      </c>
      <c r="BJ265" s="537" t="e">
        <f t="shared" si="113"/>
        <v>#N/A</v>
      </c>
      <c r="BK265" s="537" t="e">
        <f t="shared" si="114"/>
        <v>#N/A</v>
      </c>
      <c r="BL265" s="537" t="e">
        <f t="shared" si="115"/>
        <v>#N/A</v>
      </c>
      <c r="BM265" s="537" t="e">
        <f t="shared" si="116"/>
        <v>#N/A</v>
      </c>
      <c r="BN265" s="537" t="e">
        <f t="shared" si="117"/>
        <v>#N/A</v>
      </c>
      <c r="BO265" s="537" t="e">
        <f t="shared" si="118"/>
        <v>#N/A</v>
      </c>
      <c r="BP265" s="537" t="e">
        <f t="shared" si="119"/>
        <v>#N/A</v>
      </c>
      <c r="BQ265" s="534" t="s">
        <v>1979</v>
      </c>
      <c r="BR265" s="556">
        <v>8.8539999999999994E-2</v>
      </c>
      <c r="BS265" s="556">
        <v>8.8539999999999994E-2</v>
      </c>
      <c r="BT265" s="556">
        <v>1.719E-2</v>
      </c>
      <c r="BU265" s="556">
        <v>7.3859999999999995E-2</v>
      </c>
      <c r="BV265" s="556">
        <v>4.929E-2</v>
      </c>
      <c r="BW265" s="557" t="s">
        <v>2275</v>
      </c>
      <c r="BX265" s="534" t="s">
        <v>2276</v>
      </c>
      <c r="DH265" s="539">
        <f t="shared" si="108"/>
        <v>0</v>
      </c>
      <c r="DI265" s="539">
        <f t="shared" si="109"/>
        <v>0</v>
      </c>
      <c r="DJ265" s="539">
        <f t="shared" si="110"/>
        <v>0</v>
      </c>
      <c r="DK265" s="539" t="e">
        <f>VLOOKUP(DH265,#REF!,1)</f>
        <v>#REF!</v>
      </c>
      <c r="DL265" s="539" t="e">
        <f>VLOOKUP(DK265,#REF!,2,FALSE)</f>
        <v>#REF!</v>
      </c>
    </row>
    <row r="266" spans="49:116">
      <c r="AW266" s="532"/>
      <c r="AX266" s="532"/>
      <c r="AY266" s="533"/>
      <c r="AZ266" s="532"/>
      <c r="BA266" s="534"/>
      <c r="BB266" s="551">
        <v>5.9113863912301383</v>
      </c>
      <c r="BC266" s="534" t="s">
        <v>2006</v>
      </c>
      <c r="BD266" s="548">
        <v>0.04</v>
      </c>
      <c r="BE266" s="548">
        <v>0.1</v>
      </c>
      <c r="BF266" s="534" t="s">
        <v>2179</v>
      </c>
      <c r="BG266" s="536"/>
      <c r="BH266" s="537" t="e">
        <f t="shared" si="111"/>
        <v>#N/A</v>
      </c>
      <c r="BI266" s="537" t="e">
        <f t="shared" si="112"/>
        <v>#N/A</v>
      </c>
      <c r="BJ266" s="537" t="e">
        <f t="shared" si="113"/>
        <v>#N/A</v>
      </c>
      <c r="BK266" s="537" t="e">
        <f t="shared" si="114"/>
        <v>#N/A</v>
      </c>
      <c r="BL266" s="537" t="e">
        <f t="shared" si="115"/>
        <v>#N/A</v>
      </c>
      <c r="BM266" s="537" t="e">
        <f t="shared" si="116"/>
        <v>#N/A</v>
      </c>
      <c r="BN266" s="537" t="e">
        <f t="shared" si="117"/>
        <v>#N/A</v>
      </c>
      <c r="BO266" s="537" t="e">
        <f t="shared" si="118"/>
        <v>#N/A</v>
      </c>
      <c r="BP266" s="537" t="e">
        <f t="shared" si="119"/>
        <v>#N/A</v>
      </c>
      <c r="BQ266" s="534" t="s">
        <v>1979</v>
      </c>
      <c r="BR266" s="556">
        <v>8.8539999999999994E-2</v>
      </c>
      <c r="BS266" s="556">
        <v>8.8539999999999994E-2</v>
      </c>
      <c r="BT266" s="556">
        <v>1.719E-2</v>
      </c>
      <c r="BU266" s="556">
        <v>7.3859999999999995E-2</v>
      </c>
      <c r="BV266" s="556">
        <v>4.929E-2</v>
      </c>
      <c r="BW266" s="557" t="s">
        <v>2275</v>
      </c>
      <c r="BX266" s="534" t="s">
        <v>2276</v>
      </c>
      <c r="DH266" s="539">
        <f t="shared" si="108"/>
        <v>0</v>
      </c>
      <c r="DI266" s="539">
        <f t="shared" si="109"/>
        <v>0</v>
      </c>
      <c r="DJ266" s="539">
        <f t="shared" si="110"/>
        <v>0</v>
      </c>
      <c r="DK266" s="539" t="e">
        <f>VLOOKUP(DH266,#REF!,1)</f>
        <v>#REF!</v>
      </c>
      <c r="DL266" s="539" t="e">
        <f>VLOOKUP(DK266,#REF!,2,FALSE)</f>
        <v>#REF!</v>
      </c>
    </row>
    <row r="267" spans="49:116">
      <c r="AW267" s="532"/>
      <c r="AX267" s="532"/>
      <c r="AY267" s="533"/>
      <c r="AZ267" s="532"/>
      <c r="BA267" s="534"/>
      <c r="BB267" s="551">
        <v>5.9113863912301383</v>
      </c>
      <c r="BC267" s="534" t="s">
        <v>2006</v>
      </c>
      <c r="BD267" s="548">
        <v>0.04</v>
      </c>
      <c r="BE267" s="548">
        <v>0.1</v>
      </c>
      <c r="BF267" s="534" t="s">
        <v>2179</v>
      </c>
      <c r="BG267" s="536"/>
      <c r="BH267" s="537" t="e">
        <f t="shared" si="111"/>
        <v>#N/A</v>
      </c>
      <c r="BI267" s="537" t="e">
        <f t="shared" si="112"/>
        <v>#N/A</v>
      </c>
      <c r="BJ267" s="537" t="e">
        <f t="shared" si="113"/>
        <v>#N/A</v>
      </c>
      <c r="BK267" s="537" t="e">
        <f t="shared" si="114"/>
        <v>#N/A</v>
      </c>
      <c r="BL267" s="537" t="e">
        <f t="shared" si="115"/>
        <v>#N/A</v>
      </c>
      <c r="BM267" s="537" t="e">
        <f t="shared" si="116"/>
        <v>#N/A</v>
      </c>
      <c r="BN267" s="537" t="e">
        <f t="shared" si="117"/>
        <v>#N/A</v>
      </c>
      <c r="BO267" s="537" t="e">
        <f t="shared" si="118"/>
        <v>#N/A</v>
      </c>
      <c r="BP267" s="537" t="e">
        <f t="shared" si="119"/>
        <v>#N/A</v>
      </c>
      <c r="BQ267" s="534" t="s">
        <v>1979</v>
      </c>
      <c r="BR267" s="556">
        <v>8.8539999999999994E-2</v>
      </c>
      <c r="BS267" s="556">
        <v>8.8539999999999994E-2</v>
      </c>
      <c r="BT267" s="556">
        <v>1.719E-2</v>
      </c>
      <c r="BU267" s="556">
        <v>7.3859999999999995E-2</v>
      </c>
      <c r="BV267" s="556">
        <v>4.929E-2</v>
      </c>
      <c r="BW267" s="557" t="s">
        <v>2275</v>
      </c>
      <c r="BX267" s="534" t="s">
        <v>2276</v>
      </c>
      <c r="DH267" s="539">
        <f t="shared" si="108"/>
        <v>0</v>
      </c>
      <c r="DI267" s="539">
        <f t="shared" si="109"/>
        <v>0</v>
      </c>
      <c r="DJ267" s="539">
        <f t="shared" si="110"/>
        <v>0</v>
      </c>
      <c r="DK267" s="539" t="e">
        <f>VLOOKUP(DH267,#REF!,1)</f>
        <v>#REF!</v>
      </c>
      <c r="DL267" s="539" t="e">
        <f>VLOOKUP(DK267,#REF!,2,FALSE)</f>
        <v>#REF!</v>
      </c>
    </row>
    <row r="268" spans="49:116">
      <c r="AW268" s="532"/>
      <c r="AX268" s="532"/>
      <c r="AY268" s="533"/>
      <c r="AZ268" s="532"/>
      <c r="BA268" s="534"/>
      <c r="BB268" s="551">
        <v>5.9113863912301383</v>
      </c>
      <c r="BC268" s="534" t="s">
        <v>2006</v>
      </c>
      <c r="BD268" s="548">
        <v>0.04</v>
      </c>
      <c r="BE268" s="548">
        <v>0.1</v>
      </c>
      <c r="BF268" s="534" t="s">
        <v>2179</v>
      </c>
      <c r="BG268" s="536"/>
      <c r="BH268" s="537" t="e">
        <f t="shared" si="111"/>
        <v>#N/A</v>
      </c>
      <c r="BI268" s="537" t="e">
        <f t="shared" si="112"/>
        <v>#N/A</v>
      </c>
      <c r="BJ268" s="537" t="e">
        <f t="shared" si="113"/>
        <v>#N/A</v>
      </c>
      <c r="BK268" s="537" t="e">
        <f t="shared" si="114"/>
        <v>#N/A</v>
      </c>
      <c r="BL268" s="537" t="e">
        <f t="shared" si="115"/>
        <v>#N/A</v>
      </c>
      <c r="BM268" s="537" t="e">
        <f t="shared" si="116"/>
        <v>#N/A</v>
      </c>
      <c r="BN268" s="537" t="e">
        <f t="shared" si="117"/>
        <v>#N/A</v>
      </c>
      <c r="BO268" s="537" t="e">
        <f t="shared" si="118"/>
        <v>#N/A</v>
      </c>
      <c r="BP268" s="537" t="e">
        <f t="shared" si="119"/>
        <v>#N/A</v>
      </c>
      <c r="BQ268" s="534" t="s">
        <v>1979</v>
      </c>
      <c r="BR268" s="556">
        <v>8.8539999999999994E-2</v>
      </c>
      <c r="BS268" s="556">
        <v>8.8539999999999994E-2</v>
      </c>
      <c r="BT268" s="556">
        <v>1.719E-2</v>
      </c>
      <c r="BU268" s="556">
        <v>7.3859999999999995E-2</v>
      </c>
      <c r="BV268" s="556">
        <v>4.929E-2</v>
      </c>
      <c r="BW268" s="557" t="s">
        <v>2275</v>
      </c>
      <c r="BX268" s="534" t="s">
        <v>2276</v>
      </c>
      <c r="DH268" s="539">
        <f t="shared" ref="DH268:DJ271" si="120">AW267</f>
        <v>0</v>
      </c>
      <c r="DI268" s="539">
        <f t="shared" si="120"/>
        <v>0</v>
      </c>
      <c r="DJ268" s="539">
        <f t="shared" si="120"/>
        <v>0</v>
      </c>
      <c r="DK268" s="539" t="e">
        <f>VLOOKUP(DH268,#REF!,1)</f>
        <v>#REF!</v>
      </c>
      <c r="DL268" s="539" t="e">
        <f>VLOOKUP(DK268,#REF!,2,FALSE)</f>
        <v>#REF!</v>
      </c>
    </row>
    <row r="269" spans="49:116">
      <c r="AW269" s="532"/>
      <c r="AX269" s="532"/>
      <c r="AY269" s="533"/>
      <c r="AZ269" s="532"/>
      <c r="BA269" s="534"/>
      <c r="BB269" s="551">
        <v>5.9113863912301383</v>
      </c>
      <c r="BC269" s="534" t="s">
        <v>2006</v>
      </c>
      <c r="BD269" s="548">
        <v>0.04</v>
      </c>
      <c r="BE269" s="548">
        <v>0.1</v>
      </c>
      <c r="BF269" s="534" t="s">
        <v>2179</v>
      </c>
      <c r="BG269" s="536"/>
      <c r="BH269" s="537" t="e">
        <f t="shared" si="111"/>
        <v>#N/A</v>
      </c>
      <c r="BI269" s="537" t="e">
        <f t="shared" si="112"/>
        <v>#N/A</v>
      </c>
      <c r="BJ269" s="537" t="e">
        <f t="shared" si="113"/>
        <v>#N/A</v>
      </c>
      <c r="BK269" s="537" t="e">
        <f t="shared" si="114"/>
        <v>#N/A</v>
      </c>
      <c r="BL269" s="537" t="e">
        <f t="shared" si="115"/>
        <v>#N/A</v>
      </c>
      <c r="BM269" s="537" t="e">
        <f t="shared" si="116"/>
        <v>#N/A</v>
      </c>
      <c r="BN269" s="537" t="e">
        <f t="shared" si="117"/>
        <v>#N/A</v>
      </c>
      <c r="BO269" s="537" t="e">
        <f t="shared" si="118"/>
        <v>#N/A</v>
      </c>
      <c r="BP269" s="537" t="e">
        <f t="shared" si="119"/>
        <v>#N/A</v>
      </c>
      <c r="BQ269" s="534" t="s">
        <v>1979</v>
      </c>
      <c r="BR269" s="556">
        <v>8.8539999999999994E-2</v>
      </c>
      <c r="BS269" s="556">
        <v>8.8539999999999994E-2</v>
      </c>
      <c r="BT269" s="556">
        <v>1.719E-2</v>
      </c>
      <c r="BU269" s="556">
        <v>7.3859999999999995E-2</v>
      </c>
      <c r="BV269" s="556">
        <v>4.929E-2</v>
      </c>
      <c r="BW269" s="557" t="s">
        <v>2275</v>
      </c>
      <c r="BX269" s="534" t="s">
        <v>2276</v>
      </c>
      <c r="DH269" s="539">
        <f t="shared" si="120"/>
        <v>0</v>
      </c>
      <c r="DI269" s="539">
        <f t="shared" si="120"/>
        <v>0</v>
      </c>
      <c r="DJ269" s="539">
        <f t="shared" si="120"/>
        <v>0</v>
      </c>
      <c r="DK269" s="539" t="e">
        <f>VLOOKUP(DH269,#REF!,1)</f>
        <v>#REF!</v>
      </c>
      <c r="DL269" s="539" t="e">
        <f>VLOOKUP(DK269,#REF!,2,FALSE)</f>
        <v>#REF!</v>
      </c>
    </row>
    <row r="270" spans="49:116">
      <c r="AW270" s="532"/>
      <c r="AX270" s="532"/>
      <c r="AY270" s="533"/>
      <c r="AZ270" s="532"/>
      <c r="BA270" s="534"/>
      <c r="BB270" s="551">
        <v>5.9113863912301383</v>
      </c>
      <c r="BC270" s="534" t="s">
        <v>2006</v>
      </c>
      <c r="BD270" s="548">
        <v>0.04</v>
      </c>
      <c r="BE270" s="548">
        <v>0.1</v>
      </c>
      <c r="BF270" s="534" t="s">
        <v>2179</v>
      </c>
      <c r="BG270" s="536"/>
      <c r="BH270" s="537" t="e">
        <f t="shared" si="111"/>
        <v>#N/A</v>
      </c>
      <c r="BI270" s="537" t="e">
        <f t="shared" si="112"/>
        <v>#N/A</v>
      </c>
      <c r="BJ270" s="537" t="e">
        <f t="shared" si="113"/>
        <v>#N/A</v>
      </c>
      <c r="BK270" s="537" t="e">
        <f t="shared" si="114"/>
        <v>#N/A</v>
      </c>
      <c r="BL270" s="537" t="e">
        <f t="shared" si="115"/>
        <v>#N/A</v>
      </c>
      <c r="BM270" s="537" t="e">
        <f t="shared" si="116"/>
        <v>#N/A</v>
      </c>
      <c r="BN270" s="537" t="e">
        <f t="shared" si="117"/>
        <v>#N/A</v>
      </c>
      <c r="BO270" s="537" t="e">
        <f t="shared" si="118"/>
        <v>#N/A</v>
      </c>
      <c r="BP270" s="537" t="e">
        <f t="shared" si="119"/>
        <v>#N/A</v>
      </c>
      <c r="BQ270" s="534" t="s">
        <v>1979</v>
      </c>
      <c r="BR270" s="556">
        <v>8.8539999999999994E-2</v>
      </c>
      <c r="BS270" s="556">
        <v>8.8539999999999994E-2</v>
      </c>
      <c r="BT270" s="556">
        <v>1.719E-2</v>
      </c>
      <c r="BU270" s="556">
        <v>7.3859999999999995E-2</v>
      </c>
      <c r="BV270" s="556">
        <v>4.929E-2</v>
      </c>
      <c r="BW270" s="557" t="s">
        <v>2275</v>
      </c>
      <c r="BX270" s="534" t="s">
        <v>2276</v>
      </c>
      <c r="DH270" s="539">
        <f t="shared" si="120"/>
        <v>0</v>
      </c>
      <c r="DI270" s="539">
        <f t="shared" si="120"/>
        <v>0</v>
      </c>
      <c r="DJ270" s="539">
        <f t="shared" si="120"/>
        <v>0</v>
      </c>
      <c r="DK270" s="539" t="e">
        <f>VLOOKUP(DH270,#REF!,1)</f>
        <v>#REF!</v>
      </c>
      <c r="DL270" s="539" t="e">
        <f>VLOOKUP(DK270,#REF!,2,FALSE)</f>
        <v>#REF!</v>
      </c>
    </row>
    <row r="271" spans="49:116">
      <c r="AW271" s="532"/>
      <c r="AX271" s="532"/>
      <c r="AY271" s="533"/>
      <c r="AZ271" s="532"/>
      <c r="BA271" s="534"/>
      <c r="BB271" s="535">
        <v>8.8158844765342952</v>
      </c>
      <c r="BC271" s="534" t="s">
        <v>2006</v>
      </c>
      <c r="BD271" s="536"/>
      <c r="BE271" s="536"/>
      <c r="BF271" s="534"/>
      <c r="BG271" s="536"/>
      <c r="BH271" s="537" t="e">
        <f t="shared" si="111"/>
        <v>#N/A</v>
      </c>
      <c r="BI271" s="537" t="e">
        <f t="shared" si="112"/>
        <v>#N/A</v>
      </c>
      <c r="BJ271" s="537" t="e">
        <f t="shared" si="113"/>
        <v>#N/A</v>
      </c>
      <c r="BK271" s="537" t="e">
        <f t="shared" si="114"/>
        <v>#N/A</v>
      </c>
      <c r="BL271" s="537" t="e">
        <f t="shared" si="115"/>
        <v>#N/A</v>
      </c>
      <c r="BM271" s="537" t="e">
        <f t="shared" si="116"/>
        <v>#N/A</v>
      </c>
      <c r="BN271" s="537" t="e">
        <f t="shared" si="117"/>
        <v>#N/A</v>
      </c>
      <c r="BO271" s="537" t="e">
        <f t="shared" si="118"/>
        <v>#N/A</v>
      </c>
      <c r="BP271" s="537" t="e">
        <f t="shared" si="119"/>
        <v>#N/A</v>
      </c>
      <c r="BQ271" s="534" t="s">
        <v>1979</v>
      </c>
      <c r="DH271" s="539">
        <f t="shared" si="120"/>
        <v>0</v>
      </c>
      <c r="DI271" s="539">
        <f t="shared" si="120"/>
        <v>0</v>
      </c>
      <c r="DJ271" s="539">
        <f t="shared" si="120"/>
        <v>0</v>
      </c>
      <c r="DK271" s="539" t="e">
        <f>VLOOKUP(DH271,#REF!,1)</f>
        <v>#REF!</v>
      </c>
      <c r="DL271" s="539" t="e">
        <f>VLOOKUP(DK271,#REF!,2,FALSE)</f>
        <v>#REF!</v>
      </c>
    </row>
    <row r="272" spans="49:116" ht="25.5">
      <c r="AW272" s="532"/>
      <c r="AX272" s="532"/>
      <c r="AY272" s="533"/>
      <c r="AZ272" s="532"/>
      <c r="BA272" s="534"/>
      <c r="BB272" s="535">
        <v>5.4123414965002699</v>
      </c>
      <c r="BC272" s="534" t="s">
        <v>2049</v>
      </c>
      <c r="BD272" s="536"/>
      <c r="BE272" s="536"/>
      <c r="BF272" s="534"/>
      <c r="BG272" s="536"/>
      <c r="BH272" s="537" t="e">
        <f t="shared" si="111"/>
        <v>#N/A</v>
      </c>
      <c r="BI272" s="537" t="e">
        <f t="shared" si="112"/>
        <v>#N/A</v>
      </c>
      <c r="BJ272" s="537" t="e">
        <f t="shared" si="113"/>
        <v>#N/A</v>
      </c>
      <c r="BK272" s="537" t="e">
        <f t="shared" si="114"/>
        <v>#N/A</v>
      </c>
      <c r="BL272" s="537" t="e">
        <f t="shared" si="115"/>
        <v>#N/A</v>
      </c>
      <c r="BM272" s="537" t="e">
        <f t="shared" si="116"/>
        <v>#N/A</v>
      </c>
      <c r="BN272" s="537" t="e">
        <f t="shared" si="117"/>
        <v>#N/A</v>
      </c>
      <c r="BO272" s="537" t="e">
        <f t="shared" si="118"/>
        <v>#N/A</v>
      </c>
      <c r="BP272" s="537" t="e">
        <f t="shared" si="119"/>
        <v>#N/A</v>
      </c>
      <c r="BQ272" s="534" t="s">
        <v>1979</v>
      </c>
      <c r="DH272" s="539">
        <f t="shared" ref="DH272:DH281" si="121">AW271</f>
        <v>0</v>
      </c>
      <c r="DI272" s="539">
        <f t="shared" ref="DI272:DI281" si="122">AX271</f>
        <v>0</v>
      </c>
      <c r="DJ272" s="539">
        <f t="shared" ref="DJ272:DJ281" si="123">AY271</f>
        <v>0</v>
      </c>
      <c r="DL272" s="539" t="s">
        <v>35</v>
      </c>
    </row>
    <row r="273" spans="49:116">
      <c r="AW273" s="532"/>
      <c r="AX273" s="532"/>
      <c r="AY273" s="533"/>
      <c r="AZ273" s="532"/>
      <c r="BA273" s="534"/>
      <c r="BB273" s="535">
        <v>36.04471827953622</v>
      </c>
      <c r="BC273" s="534" t="s">
        <v>2006</v>
      </c>
      <c r="BD273" s="536"/>
      <c r="BE273" s="536"/>
      <c r="BF273" s="534"/>
      <c r="BG273" s="536"/>
      <c r="BH273" s="537" t="e">
        <f t="shared" si="111"/>
        <v>#N/A</v>
      </c>
      <c r="BI273" s="537" t="e">
        <f t="shared" si="112"/>
        <v>#N/A</v>
      </c>
      <c r="BJ273" s="537" t="e">
        <f t="shared" si="113"/>
        <v>#N/A</v>
      </c>
      <c r="BK273" s="537" t="e">
        <f t="shared" si="114"/>
        <v>#N/A</v>
      </c>
      <c r="BL273" s="537" t="e">
        <f t="shared" si="115"/>
        <v>#N/A</v>
      </c>
      <c r="BM273" s="537" t="e">
        <f t="shared" si="116"/>
        <v>#N/A</v>
      </c>
      <c r="BN273" s="537" t="e">
        <f t="shared" si="117"/>
        <v>#N/A</v>
      </c>
      <c r="BO273" s="537" t="e">
        <f t="shared" si="118"/>
        <v>#N/A</v>
      </c>
      <c r="BP273" s="537" t="e">
        <f t="shared" si="119"/>
        <v>#N/A</v>
      </c>
      <c r="BQ273" s="534" t="s">
        <v>1979</v>
      </c>
      <c r="DH273" s="539">
        <f t="shared" si="121"/>
        <v>0</v>
      </c>
      <c r="DI273" s="539">
        <f t="shared" si="122"/>
        <v>0</v>
      </c>
      <c r="DJ273" s="539">
        <f t="shared" si="123"/>
        <v>0</v>
      </c>
      <c r="DL273" s="539" t="s">
        <v>35</v>
      </c>
    </row>
    <row r="274" spans="49:116">
      <c r="AW274" s="532"/>
      <c r="AX274" s="532"/>
      <c r="AY274" s="533"/>
      <c r="AZ274" s="532"/>
      <c r="BA274" s="534"/>
      <c r="BB274" s="535">
        <v>9.2867122845985737</v>
      </c>
      <c r="BC274" s="534" t="s">
        <v>2006</v>
      </c>
      <c r="BD274" s="536"/>
      <c r="BE274" s="536"/>
      <c r="BF274" s="534"/>
      <c r="BG274" s="536"/>
      <c r="BH274" s="537" t="e">
        <f t="shared" si="111"/>
        <v>#N/A</v>
      </c>
      <c r="BI274" s="537" t="e">
        <f t="shared" si="112"/>
        <v>#N/A</v>
      </c>
      <c r="BJ274" s="537" t="e">
        <f t="shared" si="113"/>
        <v>#N/A</v>
      </c>
      <c r="BK274" s="537" t="e">
        <f t="shared" si="114"/>
        <v>#N/A</v>
      </c>
      <c r="BL274" s="537" t="e">
        <f t="shared" si="115"/>
        <v>#N/A</v>
      </c>
      <c r="BM274" s="537" t="e">
        <f t="shared" si="116"/>
        <v>#N/A</v>
      </c>
      <c r="BN274" s="537" t="e">
        <f t="shared" si="117"/>
        <v>#N/A</v>
      </c>
      <c r="BO274" s="537" t="e">
        <f t="shared" si="118"/>
        <v>#N/A</v>
      </c>
      <c r="BP274" s="537" t="e">
        <f t="shared" si="119"/>
        <v>#N/A</v>
      </c>
      <c r="BQ274" s="534" t="s">
        <v>1979</v>
      </c>
      <c r="DH274" s="539">
        <f t="shared" si="121"/>
        <v>0</v>
      </c>
      <c r="DI274" s="539">
        <f t="shared" si="122"/>
        <v>0</v>
      </c>
      <c r="DJ274" s="539">
        <f t="shared" si="123"/>
        <v>0</v>
      </c>
      <c r="DL274" s="539" t="s">
        <v>35</v>
      </c>
    </row>
    <row r="275" spans="49:116" ht="25.5">
      <c r="AW275" s="532"/>
      <c r="AX275" s="532"/>
      <c r="AY275" s="533"/>
      <c r="AZ275" s="532"/>
      <c r="BA275" s="534"/>
      <c r="BB275" s="535">
        <v>9.3894684857089938</v>
      </c>
      <c r="BC275" s="534" t="s">
        <v>2087</v>
      </c>
      <c r="BD275" s="536"/>
      <c r="BE275" s="536"/>
      <c r="BF275" s="534"/>
      <c r="BG275" s="536"/>
      <c r="BH275" s="537" t="e">
        <f t="shared" si="111"/>
        <v>#N/A</v>
      </c>
      <c r="BI275" s="537" t="e">
        <f t="shared" si="112"/>
        <v>#N/A</v>
      </c>
      <c r="BJ275" s="537" t="e">
        <f t="shared" si="113"/>
        <v>#N/A</v>
      </c>
      <c r="BK275" s="537" t="e">
        <f t="shared" si="114"/>
        <v>#N/A</v>
      </c>
      <c r="BL275" s="537" t="e">
        <f t="shared" si="115"/>
        <v>#N/A</v>
      </c>
      <c r="BM275" s="537" t="e">
        <f t="shared" si="116"/>
        <v>#N/A</v>
      </c>
      <c r="BN275" s="537" t="e">
        <f t="shared" si="117"/>
        <v>#N/A</v>
      </c>
      <c r="BO275" s="537" t="e">
        <f t="shared" si="118"/>
        <v>#N/A</v>
      </c>
      <c r="BP275" s="537" t="e">
        <f t="shared" si="119"/>
        <v>#N/A</v>
      </c>
      <c r="BQ275" s="534" t="s">
        <v>1979</v>
      </c>
      <c r="DH275" s="539">
        <f t="shared" si="121"/>
        <v>0</v>
      </c>
      <c r="DI275" s="539">
        <f t="shared" si="122"/>
        <v>0</v>
      </c>
      <c r="DJ275" s="539">
        <f t="shared" si="123"/>
        <v>0</v>
      </c>
      <c r="DL275" s="539" t="s">
        <v>35</v>
      </c>
    </row>
    <row r="276" spans="49:116" ht="25.5">
      <c r="AW276" s="532"/>
      <c r="AX276" s="548"/>
      <c r="AY276" s="533"/>
      <c r="AZ276" s="532"/>
      <c r="BA276" s="534"/>
      <c r="BB276" s="535">
        <v>13.490630673342661</v>
      </c>
      <c r="BC276" s="534" t="s">
        <v>2223</v>
      </c>
      <c r="BD276" s="536"/>
      <c r="BE276" s="536"/>
      <c r="BF276" s="534"/>
      <c r="BG276" s="536"/>
      <c r="BH276" s="537" t="e">
        <f t="shared" si="111"/>
        <v>#N/A</v>
      </c>
      <c r="BI276" s="537" t="e">
        <f t="shared" si="112"/>
        <v>#N/A</v>
      </c>
      <c r="BJ276" s="537" t="e">
        <f t="shared" si="113"/>
        <v>#N/A</v>
      </c>
      <c r="BK276" s="537" t="e">
        <f t="shared" si="114"/>
        <v>#N/A</v>
      </c>
      <c r="BL276" s="537" t="e">
        <f t="shared" si="115"/>
        <v>#N/A</v>
      </c>
      <c r="BM276" s="537" t="e">
        <f t="shared" si="116"/>
        <v>#N/A</v>
      </c>
      <c r="BN276" s="537" t="e">
        <f t="shared" si="117"/>
        <v>#N/A</v>
      </c>
      <c r="BO276" s="537" t="e">
        <f t="shared" si="118"/>
        <v>#N/A</v>
      </c>
      <c r="BP276" s="537" t="e">
        <f t="shared" si="119"/>
        <v>#N/A</v>
      </c>
      <c r="BQ276" s="534" t="s">
        <v>1979</v>
      </c>
      <c r="DH276" s="539">
        <f t="shared" si="121"/>
        <v>0</v>
      </c>
      <c r="DI276" s="539">
        <f t="shared" si="122"/>
        <v>0</v>
      </c>
      <c r="DJ276" s="539">
        <f t="shared" si="123"/>
        <v>0</v>
      </c>
      <c r="DL276" s="539" t="s">
        <v>35</v>
      </c>
    </row>
    <row r="277" spans="49:116">
      <c r="AW277" s="532"/>
      <c r="AX277" s="532"/>
      <c r="AY277" s="533"/>
      <c r="AZ277" s="532"/>
      <c r="BA277" s="534"/>
      <c r="BB277" s="535">
        <v>25.765105937745226</v>
      </c>
      <c r="BC277" s="534" t="s">
        <v>2006</v>
      </c>
      <c r="BD277" s="536"/>
      <c r="BE277" s="536"/>
      <c r="BF277" s="534"/>
      <c r="BG277" s="536"/>
      <c r="BH277" s="537" t="e">
        <f t="shared" si="111"/>
        <v>#N/A</v>
      </c>
      <c r="BI277" s="537" t="e">
        <f t="shared" si="112"/>
        <v>#N/A</v>
      </c>
      <c r="BJ277" s="537" t="e">
        <f t="shared" si="113"/>
        <v>#N/A</v>
      </c>
      <c r="BK277" s="537" t="e">
        <f t="shared" si="114"/>
        <v>#N/A</v>
      </c>
      <c r="BL277" s="537" t="e">
        <f t="shared" si="115"/>
        <v>#N/A</v>
      </c>
      <c r="BM277" s="537" t="e">
        <f t="shared" si="116"/>
        <v>#N/A</v>
      </c>
      <c r="BN277" s="537" t="e">
        <f t="shared" si="117"/>
        <v>#N/A</v>
      </c>
      <c r="BO277" s="537" t="e">
        <f t="shared" si="118"/>
        <v>#N/A</v>
      </c>
      <c r="BP277" s="537" t="e">
        <f t="shared" si="119"/>
        <v>#N/A</v>
      </c>
      <c r="BQ277" s="534" t="s">
        <v>1979</v>
      </c>
      <c r="DH277" s="539">
        <f t="shared" si="121"/>
        <v>0</v>
      </c>
      <c r="DI277" s="539">
        <f t="shared" si="122"/>
        <v>0</v>
      </c>
      <c r="DJ277" s="539">
        <f t="shared" si="123"/>
        <v>0</v>
      </c>
      <c r="DL277" s="539" t="s">
        <v>35</v>
      </c>
    </row>
    <row r="278" spans="49:116">
      <c r="AW278" s="532"/>
      <c r="AX278" s="532"/>
      <c r="AY278" s="533"/>
      <c r="AZ278" s="532"/>
      <c r="BA278" s="534"/>
      <c r="BB278" s="535">
        <v>14.95986714641572</v>
      </c>
      <c r="BC278" s="534" t="s">
        <v>2006</v>
      </c>
      <c r="BD278" s="536"/>
      <c r="BE278" s="536"/>
      <c r="BF278" s="534"/>
      <c r="BG278" s="536"/>
      <c r="BH278" s="537" t="e">
        <f t="shared" si="111"/>
        <v>#N/A</v>
      </c>
      <c r="BI278" s="537" t="e">
        <f t="shared" si="112"/>
        <v>#N/A</v>
      </c>
      <c r="BJ278" s="537" t="e">
        <f t="shared" si="113"/>
        <v>#N/A</v>
      </c>
      <c r="BK278" s="537" t="e">
        <f t="shared" si="114"/>
        <v>#N/A</v>
      </c>
      <c r="BL278" s="537" t="e">
        <f t="shared" si="115"/>
        <v>#N/A</v>
      </c>
      <c r="BM278" s="537" t="e">
        <f t="shared" si="116"/>
        <v>#N/A</v>
      </c>
      <c r="BN278" s="537" t="e">
        <f t="shared" si="117"/>
        <v>#N/A</v>
      </c>
      <c r="BO278" s="537" t="e">
        <f t="shared" si="118"/>
        <v>#N/A</v>
      </c>
      <c r="BP278" s="537" t="e">
        <f t="shared" si="119"/>
        <v>#N/A</v>
      </c>
      <c r="BQ278" s="534" t="s">
        <v>1979</v>
      </c>
      <c r="DH278" s="539">
        <f t="shared" si="121"/>
        <v>0</v>
      </c>
      <c r="DI278" s="539">
        <f t="shared" si="122"/>
        <v>0</v>
      </c>
      <c r="DJ278" s="539">
        <f t="shared" si="123"/>
        <v>0</v>
      </c>
      <c r="DL278" s="539" t="s">
        <v>35</v>
      </c>
    </row>
    <row r="279" spans="49:116">
      <c r="AW279" s="532"/>
      <c r="AX279" s="532"/>
      <c r="AY279" s="533"/>
      <c r="AZ279" s="532"/>
      <c r="BA279" s="534"/>
      <c r="BB279" s="535">
        <v>17.655571635311144</v>
      </c>
      <c r="BC279" s="534" t="s">
        <v>2763</v>
      </c>
      <c r="BD279" s="536"/>
      <c r="BE279" s="536"/>
      <c r="BF279" s="534"/>
      <c r="BG279" s="536"/>
      <c r="BH279" s="537" t="e">
        <f t="shared" si="111"/>
        <v>#N/A</v>
      </c>
      <c r="BI279" s="537" t="e">
        <f t="shared" si="112"/>
        <v>#N/A</v>
      </c>
      <c r="BJ279" s="537" t="e">
        <f t="shared" si="113"/>
        <v>#N/A</v>
      </c>
      <c r="BK279" s="537" t="e">
        <f t="shared" si="114"/>
        <v>#N/A</v>
      </c>
      <c r="BL279" s="537" t="e">
        <f t="shared" si="115"/>
        <v>#N/A</v>
      </c>
      <c r="BM279" s="537" t="e">
        <f t="shared" si="116"/>
        <v>#N/A</v>
      </c>
      <c r="BN279" s="537" t="e">
        <f t="shared" si="117"/>
        <v>#N/A</v>
      </c>
      <c r="BO279" s="537" t="e">
        <f t="shared" si="118"/>
        <v>#N/A</v>
      </c>
      <c r="BP279" s="537" t="e">
        <f t="shared" si="119"/>
        <v>#N/A</v>
      </c>
      <c r="BQ279" s="534" t="s">
        <v>1979</v>
      </c>
      <c r="DH279" s="539">
        <f t="shared" si="121"/>
        <v>0</v>
      </c>
      <c r="DI279" s="539">
        <f t="shared" si="122"/>
        <v>0</v>
      </c>
      <c r="DJ279" s="539">
        <f t="shared" si="123"/>
        <v>0</v>
      </c>
      <c r="DL279" s="539" t="s">
        <v>35</v>
      </c>
    </row>
    <row r="280" spans="49:116">
      <c r="AW280" s="532"/>
      <c r="AX280" s="532"/>
      <c r="AY280" s="533"/>
      <c r="AZ280" s="532"/>
      <c r="BA280" s="534"/>
      <c r="BB280" s="535">
        <v>16.437263115898666</v>
      </c>
      <c r="BC280" s="534" t="s">
        <v>2006</v>
      </c>
      <c r="BD280" s="536"/>
      <c r="BE280" s="536"/>
      <c r="BF280" s="534"/>
      <c r="BG280" s="536"/>
      <c r="BH280" s="537" t="e">
        <f t="shared" si="111"/>
        <v>#N/A</v>
      </c>
      <c r="BI280" s="537" t="e">
        <f t="shared" si="112"/>
        <v>#N/A</v>
      </c>
      <c r="BJ280" s="537" t="e">
        <f t="shared" si="113"/>
        <v>#N/A</v>
      </c>
      <c r="BK280" s="537" t="e">
        <f t="shared" si="114"/>
        <v>#N/A</v>
      </c>
      <c r="BL280" s="537" t="e">
        <f t="shared" si="115"/>
        <v>#N/A</v>
      </c>
      <c r="BM280" s="537" t="e">
        <f t="shared" si="116"/>
        <v>#N/A</v>
      </c>
      <c r="BN280" s="537" t="e">
        <f t="shared" si="117"/>
        <v>#N/A</v>
      </c>
      <c r="BO280" s="537" t="e">
        <f t="shared" si="118"/>
        <v>#N/A</v>
      </c>
      <c r="BP280" s="537" t="e">
        <f t="shared" si="119"/>
        <v>#N/A</v>
      </c>
      <c r="BQ280" s="534" t="s">
        <v>1979</v>
      </c>
      <c r="DH280" s="539">
        <f t="shared" si="121"/>
        <v>0</v>
      </c>
      <c r="DI280" s="539">
        <f t="shared" si="122"/>
        <v>0</v>
      </c>
      <c r="DJ280" s="539">
        <f t="shared" si="123"/>
        <v>0</v>
      </c>
      <c r="DL280" s="539" t="s">
        <v>35</v>
      </c>
    </row>
    <row r="281" spans="49:116">
      <c r="AW281" s="532"/>
      <c r="AX281" s="532"/>
      <c r="AY281" s="533"/>
      <c r="AZ281" s="532"/>
      <c r="BA281" s="534"/>
      <c r="DH281" s="539">
        <f t="shared" si="121"/>
        <v>0</v>
      </c>
      <c r="DI281" s="539">
        <f t="shared" si="122"/>
        <v>0</v>
      </c>
      <c r="DJ281" s="539">
        <f t="shared" si="123"/>
        <v>0</v>
      </c>
      <c r="DL281" s="539" t="s">
        <v>35</v>
      </c>
    </row>
  </sheetData>
  <sheetProtection selectLockedCells="1"/>
  <autoFilter ref="C2:G128" xr:uid="{214090F2-6341-40D0-B7F7-89B4B343CB53}">
    <sortState xmlns:xlrd2="http://schemas.microsoft.com/office/spreadsheetml/2017/richdata2" ref="C3:G115">
      <sortCondition ref="F2:F113"/>
    </sortState>
  </autoFilter>
  <mergeCells count="53">
    <mergeCell ref="DF1:DF2"/>
    <mergeCell ref="DK1:DL1"/>
    <mergeCell ref="DT1:DT2"/>
    <mergeCell ref="X18:AC18"/>
    <mergeCell ref="CU1:CU2"/>
    <mergeCell ref="CV1:CV2"/>
    <mergeCell ref="CW1:CW2"/>
    <mergeCell ref="CX1:CX2"/>
    <mergeCell ref="CZ1:CZ2"/>
    <mergeCell ref="DB1:DD1"/>
    <mergeCell ref="CA1:CI1"/>
    <mergeCell ref="CK1:CK2"/>
    <mergeCell ref="CM1:CM2"/>
    <mergeCell ref="CO1:CP1"/>
    <mergeCell ref="CQ1:CR1"/>
    <mergeCell ref="CS1:CS2"/>
    <mergeCell ref="BZ1:BZ2"/>
    <mergeCell ref="AL1:AL2"/>
    <mergeCell ref="AN1:AN2"/>
    <mergeCell ref="AP1:AP2"/>
    <mergeCell ref="AR1:AR2"/>
    <mergeCell ref="AS1:AS2"/>
    <mergeCell ref="AU1:AU2"/>
    <mergeCell ref="AZ1:BA1"/>
    <mergeCell ref="BB1:BC1"/>
    <mergeCell ref="BD1:BG1"/>
    <mergeCell ref="BH1:BQ1"/>
    <mergeCell ref="BR1:BX1"/>
    <mergeCell ref="AJ1:AJ2"/>
    <mergeCell ref="U1:U2"/>
    <mergeCell ref="V1:V2"/>
    <mergeCell ref="X1:X2"/>
    <mergeCell ref="Y1:Y2"/>
    <mergeCell ref="Z1:Z2"/>
    <mergeCell ref="AA1:AA2"/>
    <mergeCell ref="AB1:AB2"/>
    <mergeCell ref="AC1:AC2"/>
    <mergeCell ref="AE1:AE2"/>
    <mergeCell ref="AF1:AF2"/>
    <mergeCell ref="AH1:AH2"/>
    <mergeCell ref="A1:A2"/>
    <mergeCell ref="T1:T2"/>
    <mergeCell ref="H1:H2"/>
    <mergeCell ref="I1:I2"/>
    <mergeCell ref="J1:J2"/>
    <mergeCell ref="L1:L2"/>
    <mergeCell ref="M1:M2"/>
    <mergeCell ref="N1:N2"/>
    <mergeCell ref="O1:O2"/>
    <mergeCell ref="P1:P2"/>
    <mergeCell ref="Q1:Q2"/>
    <mergeCell ref="R1:R2"/>
    <mergeCell ref="S1:S2"/>
  </mergeCells>
  <phoneticPr fontId="196" type="noConversion"/>
  <conditionalFormatting sqref="AW3:AW241">
    <cfRule type="duplicateValues" dxfId="8" priority="134"/>
  </conditionalFormatting>
  <conditionalFormatting sqref="AW281">
    <cfRule type="duplicateValues" dxfId="7" priority="1"/>
  </conditionalFormatting>
  <dataValidations count="1">
    <dataValidation type="list" allowBlank="1" showInputMessage="1" showErrorMessage="1" sqref="AL3:AL7" xr:uid="{2C068B20-42A8-442B-B5CA-15903054EFF9}">
      <formula1>#REF!</formula1>
    </dataValidation>
  </dataValidations>
  <pageMargins left="0.7" right="0.7" top="0.79166666666666663" bottom="0.75" header="0.3" footer="0.3"/>
  <pageSetup paperSize="9" orientation="landscape" horizontalDpi="1200" verticalDpi="1200" r:id="rId1"/>
  <headerFooter>
    <oddHeader xml:space="preserve">&amp;L&amp;G&amp;R&amp;8
&amp;"-,Negrita"Herramienta para el cálculo de la huella de carbono en hospitales&amp;"-,Normal"
</oddHeader>
  </headerFooter>
  <ignoredErrors>
    <ignoredError sqref="CS3:CS10" numberStoredAsText="1"/>
  </ignoredError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4CDB3-9E69-45B2-8759-52FC3B5B268E}">
  <sheetPr codeName="Sheet8">
    <tabColor rgb="FF94E494"/>
  </sheetPr>
  <dimension ref="A1:AA654"/>
  <sheetViews>
    <sheetView showGridLines="0" zoomScale="80" zoomScaleNormal="80" workbookViewId="0">
      <pane ySplit="9" topLeftCell="A10" activePane="bottomLeft" state="frozen"/>
      <selection activeCell="C8" sqref="C8"/>
      <selection pane="bottomLeft" activeCell="G10" sqref="G10"/>
    </sheetView>
  </sheetViews>
  <sheetFormatPr defaultColWidth="10.5" defaultRowHeight="15"/>
  <cols>
    <col min="1" max="1" width="14.625" style="630" customWidth="1"/>
    <col min="2" max="2" width="24.25" style="630" customWidth="1"/>
    <col min="3" max="3" width="18.625" style="631" customWidth="1"/>
    <col min="4" max="4" width="20" style="632" customWidth="1"/>
    <col min="5" max="6" width="14.125" style="632" customWidth="1"/>
    <col min="7" max="8" width="27.625" style="632" customWidth="1"/>
    <col min="9" max="10" width="14.5" style="632" customWidth="1"/>
    <col min="11" max="11" width="16.75" style="632" customWidth="1"/>
    <col min="12" max="12" width="16.625" style="632" customWidth="1"/>
    <col min="13" max="13" width="24.125" style="632" customWidth="1"/>
    <col min="14" max="14" width="15.375" style="632" customWidth="1"/>
    <col min="15" max="15" width="7.875" style="632" customWidth="1"/>
    <col min="16" max="16" width="28.125" style="635" customWidth="1"/>
    <col min="17" max="17" width="13" style="632" customWidth="1"/>
    <col min="18" max="19" width="18.625" style="632" customWidth="1"/>
    <col min="20" max="21" width="10.5" style="630"/>
    <col min="22" max="22" width="17.375" style="630" customWidth="1"/>
    <col min="23" max="16384" width="10.5" style="630"/>
  </cols>
  <sheetData>
    <row r="1" spans="1:27" ht="105" customHeight="1" thickTop="1" thickBot="1">
      <c r="F1" s="630"/>
      <c r="G1" s="633" t="str">
        <f>+Instructions!B2</f>
        <v>Health Care Emissions Impact Calculator-Facility</v>
      </c>
      <c r="H1" s="634"/>
      <c r="K1" s="781" t="s">
        <v>2772</v>
      </c>
    </row>
    <row r="2" spans="1:27" s="640" customFormat="1" ht="18.75" thickTop="1">
      <c r="A2" s="636" t="str">
        <f>+'Scope 1 and 2 Data'!A68</f>
        <v>1.3.1</v>
      </c>
      <c r="B2" s="637" t="str">
        <f>+'Scope 1 and 2 Data'!B68</f>
        <v>Refrigerants and Fire Suppression</v>
      </c>
      <c r="C2" s="638"/>
      <c r="D2" s="637"/>
      <c r="E2" s="637"/>
      <c r="F2" s="637"/>
      <c r="G2" s="637"/>
      <c r="H2" s="637"/>
      <c r="I2" s="637"/>
      <c r="J2" s="637"/>
      <c r="K2" s="637"/>
      <c r="L2" s="637"/>
      <c r="M2" s="1403"/>
      <c r="N2" s="1403"/>
      <c r="O2" s="637"/>
      <c r="P2" s="639"/>
      <c r="Q2" s="637"/>
      <c r="R2" s="637"/>
      <c r="S2" s="637"/>
      <c r="T2" s="637"/>
      <c r="U2" s="637"/>
      <c r="V2" s="637"/>
      <c r="W2" s="637"/>
      <c r="X2" s="637"/>
      <c r="Y2" s="637"/>
      <c r="Z2" s="637"/>
      <c r="AA2" s="637"/>
    </row>
    <row r="3" spans="1:27" ht="3.6" customHeight="1"/>
    <row r="4" spans="1:27" ht="15.75">
      <c r="A4" s="3" t="s">
        <v>2773</v>
      </c>
    </row>
    <row r="5" spans="1:27" ht="33" customHeight="1">
      <c r="A5" s="1513" t="s">
        <v>2774</v>
      </c>
      <c r="B5" s="1513"/>
      <c r="C5" s="1513"/>
      <c r="D5" s="1513"/>
      <c r="E5" s="1513"/>
      <c r="F5" s="1513"/>
      <c r="G5" s="1513"/>
      <c r="H5" s="419"/>
    </row>
    <row r="6" spans="1:27" ht="29.25" customHeight="1">
      <c r="A6" s="1513" t="s">
        <v>2775</v>
      </c>
      <c r="B6" s="1513"/>
      <c r="C6" s="1513"/>
      <c r="D6" s="1513"/>
      <c r="E6" s="1513"/>
      <c r="F6" s="1513"/>
      <c r="G6" s="1513"/>
      <c r="H6" s="419"/>
    </row>
    <row r="8" spans="1:27" s="642" customFormat="1" ht="67.5" customHeight="1">
      <c r="A8" s="1512" t="s">
        <v>2776</v>
      </c>
      <c r="B8" s="1512" t="s">
        <v>2777</v>
      </c>
      <c r="C8" s="1514" t="s">
        <v>2778</v>
      </c>
      <c r="D8" s="1516" t="s">
        <v>2779</v>
      </c>
      <c r="E8" s="1516"/>
      <c r="F8" s="1512" t="s">
        <v>2780</v>
      </c>
      <c r="G8" s="1517" t="s">
        <v>2781</v>
      </c>
      <c r="H8" s="1512" t="s">
        <v>2782</v>
      </c>
      <c r="I8" s="1512" t="s">
        <v>2783</v>
      </c>
      <c r="J8" s="1512" t="s">
        <v>2784</v>
      </c>
      <c r="K8" s="1512" t="s">
        <v>2785</v>
      </c>
      <c r="L8" s="1512"/>
      <c r="M8" s="1512" t="s">
        <v>2786</v>
      </c>
      <c r="N8" s="1512" t="s">
        <v>2787</v>
      </c>
      <c r="P8" s="643"/>
      <c r="Q8" s="2"/>
      <c r="R8"/>
    </row>
    <row r="9" spans="1:27" s="642" customFormat="1" ht="39.75" customHeight="1">
      <c r="A9" s="1512"/>
      <c r="B9" s="1512"/>
      <c r="C9" s="1515"/>
      <c r="D9" s="644" t="s">
        <v>2788</v>
      </c>
      <c r="E9" s="644" t="s">
        <v>0</v>
      </c>
      <c r="F9" s="1512"/>
      <c r="G9" s="1517"/>
      <c r="H9" s="1512"/>
      <c r="I9" s="1512"/>
      <c r="J9" s="1512"/>
      <c r="K9" s="641" t="s">
        <v>2789</v>
      </c>
      <c r="L9" s="641" t="s">
        <v>2790</v>
      </c>
      <c r="M9" s="1512"/>
      <c r="N9" s="1512"/>
      <c r="P9" s="645" t="s">
        <v>2791</v>
      </c>
      <c r="Q9" s="641" t="s">
        <v>0</v>
      </c>
    </row>
    <row r="10" spans="1:27" s="651" customFormat="1" ht="15.75">
      <c r="A10" s="646"/>
      <c r="B10" s="1402"/>
      <c r="C10" s="647"/>
      <c r="D10" s="646"/>
      <c r="E10" s="646"/>
      <c r="F10" s="648"/>
      <c r="G10" s="647"/>
      <c r="H10" s="646"/>
      <c r="I10" s="646"/>
      <c r="J10" s="646"/>
      <c r="K10" s="646"/>
      <c r="L10" s="649"/>
      <c r="M10" s="650" t="str">
        <f>+IFERROR(VLOOKUP(G10,'S1&amp;2 Lists'!$C$8:$G$113,3,FALSE),"-")</f>
        <v>-</v>
      </c>
      <c r="N10" s="650" t="str">
        <f>+IFERROR(P10*M10,"-")</f>
        <v>-</v>
      </c>
      <c r="P10" s="1405">
        <f>ROUND(IF(L10='S1&amp;2 Lists'!$CV$3,K10,IF(L10='S1&amp;2 Lists'!$CV$4,K10/'S1&amp;2 Lists'!$CQ$6,0)),3)</f>
        <v>0</v>
      </c>
      <c r="Q10" s="432" t="s">
        <v>12</v>
      </c>
      <c r="S10" s="642"/>
    </row>
    <row r="11" spans="1:27" s="651" customFormat="1" ht="15.75">
      <c r="A11" s="455"/>
      <c r="B11" s="652"/>
      <c r="C11" s="652"/>
      <c r="D11" s="455"/>
      <c r="E11" s="653"/>
      <c r="F11" s="654"/>
      <c r="G11" s="647"/>
      <c r="H11" s="455"/>
      <c r="I11" s="653"/>
      <c r="J11" s="653"/>
      <c r="K11" s="653"/>
      <c r="L11" s="653"/>
      <c r="M11" s="1404" t="str">
        <f>+IFERROR(VLOOKUP(G11,'S1&amp;2 Lists'!$C$4:$G$200,3,FALSE),"-")</f>
        <v>-</v>
      </c>
      <c r="N11" s="1404" t="str">
        <f t="shared" ref="N11:N74" si="0">+IFERROR(P11*M11,"-")</f>
        <v>-</v>
      </c>
      <c r="P11" s="1405">
        <f>ROUND(IF(L11='S1&amp;2 Lists'!$CV$3,K11,IF(L11='S1&amp;2 Lists'!$CV$4,K11/'S1&amp;2 Lists'!$CQ$6,0)),3)</f>
        <v>0</v>
      </c>
      <c r="Q11" s="10" t="s">
        <v>12</v>
      </c>
      <c r="S11" s="642"/>
    </row>
    <row r="12" spans="1:27" s="651" customFormat="1">
      <c r="A12" s="455"/>
      <c r="B12" s="455"/>
      <c r="C12" s="652"/>
      <c r="D12" s="455"/>
      <c r="E12" s="653"/>
      <c r="F12" s="654"/>
      <c r="G12" s="647"/>
      <c r="H12" s="455"/>
      <c r="I12" s="653"/>
      <c r="J12" s="653"/>
      <c r="K12" s="653"/>
      <c r="L12" s="653"/>
      <c r="M12" s="1404" t="str">
        <f>+IFERROR(VLOOKUP(G12,'S1&amp;2 Lists'!$C$4:$G$200,3,FALSE),"-")</f>
        <v>-</v>
      </c>
      <c r="N12" s="1404" t="str">
        <f t="shared" si="0"/>
        <v>-</v>
      </c>
      <c r="P12" s="1405">
        <f>ROUND(IF(L12='S1&amp;2 Lists'!$CV$3,K12,IF(L12='S1&amp;2 Lists'!$CV$4,K12/'S1&amp;2 Lists'!$CQ$6,0)),3)</f>
        <v>0</v>
      </c>
      <c r="Q12" s="10" t="s">
        <v>12</v>
      </c>
    </row>
    <row r="13" spans="1:27" s="651" customFormat="1">
      <c r="A13" s="455"/>
      <c r="B13" s="455"/>
      <c r="C13" s="652"/>
      <c r="D13" s="455"/>
      <c r="E13" s="653"/>
      <c r="F13" s="455"/>
      <c r="G13" s="647"/>
      <c r="H13" s="455"/>
      <c r="I13" s="653"/>
      <c r="J13" s="653"/>
      <c r="K13" s="653"/>
      <c r="L13" s="653"/>
      <c r="M13" s="1404" t="str">
        <f>+IFERROR(VLOOKUP(G13,'S1&amp;2 Lists'!$C$4:$G$200,3,FALSE),"-")</f>
        <v>-</v>
      </c>
      <c r="N13" s="1404" t="str">
        <f t="shared" si="0"/>
        <v>-</v>
      </c>
      <c r="P13" s="1405">
        <f>ROUND(IF(L13='S1&amp;2 Lists'!$CV$3,K13,IF(L13='S1&amp;2 Lists'!$CV$4,K13/'S1&amp;2 Lists'!$CQ$6,0)),3)</f>
        <v>0</v>
      </c>
      <c r="Q13" s="10" t="s">
        <v>12</v>
      </c>
    </row>
    <row r="14" spans="1:27" s="651" customFormat="1">
      <c r="A14" s="455"/>
      <c r="B14" s="455"/>
      <c r="C14" s="652"/>
      <c r="D14" s="455"/>
      <c r="E14" s="653"/>
      <c r="F14" s="455"/>
      <c r="G14" s="647"/>
      <c r="H14" s="455"/>
      <c r="I14" s="653"/>
      <c r="J14" s="653"/>
      <c r="K14" s="653"/>
      <c r="L14" s="653"/>
      <c r="M14" s="1404" t="str">
        <f>+IFERROR(VLOOKUP(G14,'S1&amp;2 Lists'!$C$4:$G$200,3,FALSE),"-")</f>
        <v>-</v>
      </c>
      <c r="N14" s="1404" t="str">
        <f t="shared" si="0"/>
        <v>-</v>
      </c>
      <c r="P14" s="1405">
        <f>ROUND(IF(L14='S1&amp;2 Lists'!$CV$3,K14,IF(L14='S1&amp;2 Lists'!$CV$4,K14/'S1&amp;2 Lists'!$CQ$6,0)),3)</f>
        <v>0</v>
      </c>
      <c r="Q14" s="10" t="s">
        <v>12</v>
      </c>
    </row>
    <row r="15" spans="1:27" s="651" customFormat="1">
      <c r="A15" s="455"/>
      <c r="B15" s="455"/>
      <c r="C15" s="652"/>
      <c r="D15" s="455"/>
      <c r="E15" s="653"/>
      <c r="F15" s="455"/>
      <c r="G15" s="647"/>
      <c r="H15" s="455"/>
      <c r="I15" s="653"/>
      <c r="J15" s="653"/>
      <c r="K15" s="653"/>
      <c r="L15" s="653"/>
      <c r="M15" s="1404" t="str">
        <f>+IFERROR(VLOOKUP(G15,'S1&amp;2 Lists'!$C$4:$G$200,3,FALSE),"-")</f>
        <v>-</v>
      </c>
      <c r="N15" s="1404" t="str">
        <f t="shared" si="0"/>
        <v>-</v>
      </c>
      <c r="P15" s="1405">
        <f>ROUND(IF(L15='S1&amp;2 Lists'!$CV$3,K15,IF(L15='S1&amp;2 Lists'!$CV$4,K15/'S1&amp;2 Lists'!$CQ$6,0)),3)</f>
        <v>0</v>
      </c>
      <c r="Q15" s="10" t="s">
        <v>12</v>
      </c>
    </row>
    <row r="16" spans="1:27" s="651" customFormat="1">
      <c r="A16" s="455"/>
      <c r="B16" s="455"/>
      <c r="C16" s="652"/>
      <c r="D16" s="455"/>
      <c r="E16" s="653"/>
      <c r="F16" s="455"/>
      <c r="G16" s="647"/>
      <c r="H16" s="455"/>
      <c r="I16" s="653"/>
      <c r="J16" s="653"/>
      <c r="K16" s="653"/>
      <c r="L16" s="653"/>
      <c r="M16" s="1404" t="str">
        <f>+IFERROR(VLOOKUP(G16,'S1&amp;2 Lists'!$C$4:$G$200,3,FALSE),"-")</f>
        <v>-</v>
      </c>
      <c r="N16" s="1404" t="str">
        <f t="shared" si="0"/>
        <v>-</v>
      </c>
      <c r="P16" s="1405">
        <f>ROUND(IF(L16='S1&amp;2 Lists'!$CV$3,K16,IF(L16='S1&amp;2 Lists'!$CV$4,K16/'S1&amp;2 Lists'!$CQ$6,0)),3)</f>
        <v>0</v>
      </c>
      <c r="Q16" s="10" t="s">
        <v>12</v>
      </c>
    </row>
    <row r="17" spans="1:17" s="651" customFormat="1">
      <c r="A17" s="455"/>
      <c r="B17" s="455"/>
      <c r="C17" s="652"/>
      <c r="D17" s="455"/>
      <c r="E17" s="653"/>
      <c r="F17" s="455"/>
      <c r="G17" s="647"/>
      <c r="H17" s="455"/>
      <c r="I17" s="653"/>
      <c r="J17" s="653"/>
      <c r="K17" s="653"/>
      <c r="L17" s="653"/>
      <c r="M17" s="1404" t="str">
        <f>+IFERROR(VLOOKUP(G17,'S1&amp;2 Lists'!$C$4:$G$200,3,FALSE),"-")</f>
        <v>-</v>
      </c>
      <c r="N17" s="1404" t="str">
        <f t="shared" si="0"/>
        <v>-</v>
      </c>
      <c r="P17" s="1405">
        <f>ROUND(IF(L17='S1&amp;2 Lists'!$CV$3,K17,IF(L17='S1&amp;2 Lists'!$CV$4,K17/'S1&amp;2 Lists'!$CQ$6,0)),3)</f>
        <v>0</v>
      </c>
      <c r="Q17" s="10" t="s">
        <v>12</v>
      </c>
    </row>
    <row r="18" spans="1:17" s="651" customFormat="1">
      <c r="A18" s="455"/>
      <c r="B18" s="455"/>
      <c r="C18" s="652"/>
      <c r="D18" s="455"/>
      <c r="E18" s="653"/>
      <c r="F18" s="455"/>
      <c r="G18" s="647"/>
      <c r="H18" s="455"/>
      <c r="I18" s="653"/>
      <c r="J18" s="653"/>
      <c r="K18" s="653"/>
      <c r="L18" s="653"/>
      <c r="M18" s="1404" t="str">
        <f>+IFERROR(VLOOKUP(G18,'S1&amp;2 Lists'!$C$4:$G$200,3,FALSE),"-")</f>
        <v>-</v>
      </c>
      <c r="N18" s="1404" t="str">
        <f t="shared" si="0"/>
        <v>-</v>
      </c>
      <c r="P18" s="1405">
        <f>ROUND(IF(L18='S1&amp;2 Lists'!$CV$3,K18,IF(L18='S1&amp;2 Lists'!$CV$4,K18/'S1&amp;2 Lists'!$CQ$6,0)),3)</f>
        <v>0</v>
      </c>
      <c r="Q18" s="10" t="s">
        <v>12</v>
      </c>
    </row>
    <row r="19" spans="1:17" s="651" customFormat="1">
      <c r="A19" s="455"/>
      <c r="B19" s="455"/>
      <c r="C19" s="652"/>
      <c r="D19" s="455"/>
      <c r="E19" s="653"/>
      <c r="F19" s="455"/>
      <c r="G19" s="647"/>
      <c r="H19" s="455"/>
      <c r="I19" s="653"/>
      <c r="J19" s="653"/>
      <c r="K19" s="455"/>
      <c r="L19" s="455"/>
      <c r="M19" s="1404" t="str">
        <f>+IFERROR(VLOOKUP(G19,'S1&amp;2 Lists'!$C$4:$G$200,3,FALSE),"-")</f>
        <v>-</v>
      </c>
      <c r="N19" s="1404" t="str">
        <f t="shared" si="0"/>
        <v>-</v>
      </c>
      <c r="P19" s="1405">
        <f>ROUND(IF(L19='S1&amp;2 Lists'!$CV$3,K19,IF(L19='S1&amp;2 Lists'!$CV$4,K19/'S1&amp;2 Lists'!$CQ$6,0)),3)</f>
        <v>0</v>
      </c>
      <c r="Q19" s="10" t="s">
        <v>12</v>
      </c>
    </row>
    <row r="20" spans="1:17" s="651" customFormat="1">
      <c r="A20" s="455"/>
      <c r="B20" s="455"/>
      <c r="C20" s="652"/>
      <c r="D20" s="455"/>
      <c r="E20" s="653"/>
      <c r="F20" s="455"/>
      <c r="G20" s="647"/>
      <c r="H20" s="455"/>
      <c r="I20" s="653"/>
      <c r="J20" s="653"/>
      <c r="K20" s="455"/>
      <c r="L20" s="455"/>
      <c r="M20" s="1404" t="str">
        <f>+IFERROR(VLOOKUP(G20,'S1&amp;2 Lists'!$C$4:$G$200,3,FALSE),"-")</f>
        <v>-</v>
      </c>
      <c r="N20" s="1404" t="str">
        <f t="shared" si="0"/>
        <v>-</v>
      </c>
      <c r="P20" s="1405">
        <f>ROUND(IF(L20='S1&amp;2 Lists'!$CV$3,K20,IF(L20='S1&amp;2 Lists'!$CV$4,K20/'S1&amp;2 Lists'!$CQ$6,0)),3)</f>
        <v>0</v>
      </c>
      <c r="Q20" s="10" t="s">
        <v>12</v>
      </c>
    </row>
    <row r="21" spans="1:17" s="651" customFormat="1">
      <c r="A21" s="455"/>
      <c r="B21" s="455"/>
      <c r="C21" s="652"/>
      <c r="D21" s="455"/>
      <c r="E21" s="653"/>
      <c r="F21" s="455"/>
      <c r="G21" s="647"/>
      <c r="H21" s="455"/>
      <c r="I21" s="653"/>
      <c r="J21" s="653"/>
      <c r="K21" s="455"/>
      <c r="L21" s="455"/>
      <c r="M21" s="1404" t="str">
        <f>+IFERROR(VLOOKUP(G21,'S1&amp;2 Lists'!$C$4:$G$200,3,FALSE),"-")</f>
        <v>-</v>
      </c>
      <c r="N21" s="1404" t="str">
        <f t="shared" si="0"/>
        <v>-</v>
      </c>
      <c r="P21" s="1405">
        <f>ROUND(IF(L21='S1&amp;2 Lists'!$CV$3,K21,IF(L21='S1&amp;2 Lists'!$CV$4,K21/'S1&amp;2 Lists'!$CQ$6,0)),3)</f>
        <v>0</v>
      </c>
      <c r="Q21" s="10" t="s">
        <v>12</v>
      </c>
    </row>
    <row r="22" spans="1:17" s="651" customFormat="1">
      <c r="A22" s="455"/>
      <c r="B22" s="455"/>
      <c r="C22" s="652"/>
      <c r="D22" s="455"/>
      <c r="E22" s="653"/>
      <c r="F22" s="455"/>
      <c r="G22" s="647"/>
      <c r="H22" s="455"/>
      <c r="I22" s="653"/>
      <c r="J22" s="653"/>
      <c r="K22" s="455"/>
      <c r="L22" s="455"/>
      <c r="M22" s="1404" t="str">
        <f>+IFERROR(VLOOKUP(G22,'S1&amp;2 Lists'!$C$4:$G$200,3,FALSE),"-")</f>
        <v>-</v>
      </c>
      <c r="N22" s="1404" t="str">
        <f t="shared" si="0"/>
        <v>-</v>
      </c>
      <c r="P22" s="1405">
        <f>ROUND(IF(L22='S1&amp;2 Lists'!$CV$3,K22,IF(L22='S1&amp;2 Lists'!$CV$4,K22/'S1&amp;2 Lists'!$CQ$6,0)),3)</f>
        <v>0</v>
      </c>
      <c r="Q22" s="10" t="s">
        <v>12</v>
      </c>
    </row>
    <row r="23" spans="1:17" s="651" customFormat="1">
      <c r="A23" s="455"/>
      <c r="B23" s="455"/>
      <c r="C23" s="652"/>
      <c r="D23" s="455"/>
      <c r="E23" s="653"/>
      <c r="F23" s="455"/>
      <c r="G23" s="647"/>
      <c r="H23" s="455"/>
      <c r="I23" s="653"/>
      <c r="J23" s="653"/>
      <c r="K23" s="455"/>
      <c r="L23" s="455"/>
      <c r="M23" s="1404" t="str">
        <f>+IFERROR(VLOOKUP(G23,'S1&amp;2 Lists'!$C$4:$G$200,3,FALSE),"-")</f>
        <v>-</v>
      </c>
      <c r="N23" s="1404" t="str">
        <f t="shared" si="0"/>
        <v>-</v>
      </c>
      <c r="P23" s="1405">
        <f>ROUND(IF(L23='S1&amp;2 Lists'!$CV$3,K23,IF(L23='S1&amp;2 Lists'!$CV$4,K23/'S1&amp;2 Lists'!$CQ$6,0)),3)</f>
        <v>0</v>
      </c>
      <c r="Q23" s="10" t="s">
        <v>12</v>
      </c>
    </row>
    <row r="24" spans="1:17" s="651" customFormat="1">
      <c r="A24" s="455"/>
      <c r="B24" s="455"/>
      <c r="C24" s="652"/>
      <c r="D24" s="455"/>
      <c r="E24" s="653"/>
      <c r="F24" s="455"/>
      <c r="G24" s="647"/>
      <c r="H24" s="455"/>
      <c r="I24" s="653"/>
      <c r="J24" s="653"/>
      <c r="K24" s="455"/>
      <c r="L24" s="455"/>
      <c r="M24" s="1404" t="str">
        <f>+IFERROR(VLOOKUP(G24,'S1&amp;2 Lists'!$C$4:$G$200,3,FALSE),"-")</f>
        <v>-</v>
      </c>
      <c r="N24" s="1404" t="str">
        <f t="shared" si="0"/>
        <v>-</v>
      </c>
      <c r="P24" s="1405">
        <f>ROUND(IF(L24='S1&amp;2 Lists'!$CV$3,K24,IF(L24='S1&amp;2 Lists'!$CV$4,K24/'S1&amp;2 Lists'!$CQ$6,0)),3)</f>
        <v>0</v>
      </c>
      <c r="Q24" s="10" t="s">
        <v>12</v>
      </c>
    </row>
    <row r="25" spans="1:17" s="651" customFormat="1">
      <c r="A25" s="455"/>
      <c r="B25" s="455"/>
      <c r="C25" s="652"/>
      <c r="D25" s="455"/>
      <c r="E25" s="653"/>
      <c r="F25" s="455"/>
      <c r="G25" s="647"/>
      <c r="H25" s="455"/>
      <c r="I25" s="653"/>
      <c r="J25" s="653"/>
      <c r="K25" s="455"/>
      <c r="L25" s="455"/>
      <c r="M25" s="1404" t="str">
        <f>+IFERROR(VLOOKUP(G25,'S1&amp;2 Lists'!$C$4:$G$200,3,FALSE),"-")</f>
        <v>-</v>
      </c>
      <c r="N25" s="1404" t="str">
        <f t="shared" si="0"/>
        <v>-</v>
      </c>
      <c r="P25" s="1405">
        <f>ROUND(IF(L25='S1&amp;2 Lists'!$CV$3,K25,IF(L25='S1&amp;2 Lists'!$CV$4,K25/'S1&amp;2 Lists'!$CQ$6,0)),3)</f>
        <v>0</v>
      </c>
      <c r="Q25" s="10" t="s">
        <v>12</v>
      </c>
    </row>
    <row r="26" spans="1:17" s="651" customFormat="1">
      <c r="A26" s="455"/>
      <c r="B26" s="455"/>
      <c r="C26" s="652"/>
      <c r="D26" s="455"/>
      <c r="E26" s="653"/>
      <c r="F26" s="455"/>
      <c r="G26" s="647"/>
      <c r="H26" s="455"/>
      <c r="I26" s="653"/>
      <c r="J26" s="653"/>
      <c r="K26" s="455"/>
      <c r="L26" s="455"/>
      <c r="M26" s="1404" t="str">
        <f>+IFERROR(VLOOKUP(G26,'S1&amp;2 Lists'!$C$4:$G$200,3,FALSE),"-")</f>
        <v>-</v>
      </c>
      <c r="N26" s="1404" t="str">
        <f t="shared" si="0"/>
        <v>-</v>
      </c>
      <c r="P26" s="1405">
        <f>ROUND(IF(L26='S1&amp;2 Lists'!$CV$3,K26,IF(L26='S1&amp;2 Lists'!$CV$4,K26/'S1&amp;2 Lists'!$CQ$6,0)),3)</f>
        <v>0</v>
      </c>
      <c r="Q26" s="10" t="s">
        <v>12</v>
      </c>
    </row>
    <row r="27" spans="1:17" s="651" customFormat="1">
      <c r="A27" s="455"/>
      <c r="B27" s="455"/>
      <c r="C27" s="652"/>
      <c r="D27" s="455"/>
      <c r="E27" s="653"/>
      <c r="F27" s="455"/>
      <c r="G27" s="647"/>
      <c r="H27" s="455"/>
      <c r="I27" s="653"/>
      <c r="J27" s="653"/>
      <c r="K27" s="455"/>
      <c r="L27" s="455"/>
      <c r="M27" s="1404" t="str">
        <f>+IFERROR(VLOOKUP(G27,'S1&amp;2 Lists'!$C$4:$G$200,3,FALSE),"-")</f>
        <v>-</v>
      </c>
      <c r="N27" s="1404" t="str">
        <f t="shared" si="0"/>
        <v>-</v>
      </c>
      <c r="P27" s="1405">
        <f>ROUND(IF(L27='S1&amp;2 Lists'!$CV$3,K27,IF(L27='S1&amp;2 Lists'!$CV$4,K27/'S1&amp;2 Lists'!$CQ$6,0)),3)</f>
        <v>0</v>
      </c>
      <c r="Q27" s="10" t="s">
        <v>12</v>
      </c>
    </row>
    <row r="28" spans="1:17" s="651" customFormat="1">
      <c r="A28" s="455"/>
      <c r="B28" s="455"/>
      <c r="C28" s="652"/>
      <c r="D28" s="455"/>
      <c r="E28" s="653"/>
      <c r="F28" s="455"/>
      <c r="G28" s="647"/>
      <c r="H28" s="455"/>
      <c r="I28" s="653"/>
      <c r="J28" s="653"/>
      <c r="K28" s="455"/>
      <c r="L28" s="455"/>
      <c r="M28" s="1404" t="str">
        <f>+IFERROR(VLOOKUP(G28,'S1&amp;2 Lists'!$C$4:$G$200,3,FALSE),"-")</f>
        <v>-</v>
      </c>
      <c r="N28" s="1404" t="str">
        <f t="shared" si="0"/>
        <v>-</v>
      </c>
      <c r="P28" s="1405">
        <f>ROUND(IF(L28='S1&amp;2 Lists'!$CV$3,K28,IF(L28='S1&amp;2 Lists'!$CV$4,K28/'S1&amp;2 Lists'!$CQ$6,0)),3)</f>
        <v>0</v>
      </c>
      <c r="Q28" s="10" t="s">
        <v>12</v>
      </c>
    </row>
    <row r="29" spans="1:17" s="651" customFormat="1">
      <c r="A29" s="455"/>
      <c r="B29" s="455"/>
      <c r="C29" s="652"/>
      <c r="D29" s="455"/>
      <c r="E29" s="653"/>
      <c r="F29" s="455"/>
      <c r="G29" s="647"/>
      <c r="H29" s="455"/>
      <c r="I29" s="653"/>
      <c r="J29" s="653"/>
      <c r="K29" s="455"/>
      <c r="L29" s="455"/>
      <c r="M29" s="1404" t="str">
        <f>+IFERROR(VLOOKUP(G29,'S1&amp;2 Lists'!$C$4:$G$200,3,FALSE),"-")</f>
        <v>-</v>
      </c>
      <c r="N29" s="1404" t="str">
        <f t="shared" si="0"/>
        <v>-</v>
      </c>
      <c r="P29" s="1405">
        <f>ROUND(IF(L29='S1&amp;2 Lists'!$CV$3,K29,IF(L29='S1&amp;2 Lists'!$CV$4,K29/'S1&amp;2 Lists'!$CQ$6,0)),3)</f>
        <v>0</v>
      </c>
      <c r="Q29" s="10" t="s">
        <v>12</v>
      </c>
    </row>
    <row r="30" spans="1:17" s="651" customFormat="1">
      <c r="A30" s="455"/>
      <c r="B30" s="455"/>
      <c r="C30" s="652"/>
      <c r="D30" s="455"/>
      <c r="E30" s="653"/>
      <c r="F30" s="455"/>
      <c r="G30" s="647"/>
      <c r="H30" s="455"/>
      <c r="I30" s="653"/>
      <c r="J30" s="653"/>
      <c r="K30" s="455"/>
      <c r="L30" s="455"/>
      <c r="M30" s="1404" t="str">
        <f>+IFERROR(VLOOKUP(G30,'S1&amp;2 Lists'!$C$4:$G$200,3,FALSE),"-")</f>
        <v>-</v>
      </c>
      <c r="N30" s="1404" t="str">
        <f t="shared" si="0"/>
        <v>-</v>
      </c>
      <c r="P30" s="1405">
        <f>ROUND(IF(L30='S1&amp;2 Lists'!$CV$3,K30,IF(L30='S1&amp;2 Lists'!$CV$4,K30/'S1&amp;2 Lists'!$CQ$6,0)),3)</f>
        <v>0</v>
      </c>
      <c r="Q30" s="10" t="s">
        <v>12</v>
      </c>
    </row>
    <row r="31" spans="1:17" s="651" customFormat="1">
      <c r="A31" s="455"/>
      <c r="B31" s="455"/>
      <c r="C31" s="652"/>
      <c r="D31" s="455"/>
      <c r="E31" s="653"/>
      <c r="F31" s="455"/>
      <c r="G31" s="647"/>
      <c r="H31" s="455"/>
      <c r="I31" s="653"/>
      <c r="J31" s="653"/>
      <c r="K31" s="455"/>
      <c r="L31" s="455"/>
      <c r="M31" s="1404" t="str">
        <f>+IFERROR(VLOOKUP(G31,'S1&amp;2 Lists'!$C$4:$G$200,3,FALSE),"-")</f>
        <v>-</v>
      </c>
      <c r="N31" s="1404" t="str">
        <f t="shared" si="0"/>
        <v>-</v>
      </c>
      <c r="P31" s="1405">
        <f>ROUND(IF(L31='S1&amp;2 Lists'!$CV$3,K31,IF(L31='S1&amp;2 Lists'!$CV$4,K31/'S1&amp;2 Lists'!$CQ$6,0)),3)</f>
        <v>0</v>
      </c>
      <c r="Q31" s="10" t="s">
        <v>12</v>
      </c>
    </row>
    <row r="32" spans="1:17" s="651" customFormat="1">
      <c r="A32" s="455"/>
      <c r="B32" s="455"/>
      <c r="C32" s="652"/>
      <c r="D32" s="455"/>
      <c r="E32" s="653"/>
      <c r="F32" s="455"/>
      <c r="G32" s="647"/>
      <c r="H32" s="455"/>
      <c r="I32" s="653"/>
      <c r="J32" s="653"/>
      <c r="K32" s="455"/>
      <c r="L32" s="455"/>
      <c r="M32" s="1404" t="str">
        <f>+IFERROR(VLOOKUP(G32,'S1&amp;2 Lists'!$C$4:$G$200,3,FALSE),"-")</f>
        <v>-</v>
      </c>
      <c r="N32" s="1404" t="str">
        <f t="shared" si="0"/>
        <v>-</v>
      </c>
      <c r="P32" s="1405">
        <f>ROUND(IF(L32='S1&amp;2 Lists'!$CV$3,K32,IF(L32='S1&amp;2 Lists'!$CV$4,K32/'S1&amp;2 Lists'!$CQ$6,0)),3)</f>
        <v>0</v>
      </c>
      <c r="Q32" s="10" t="s">
        <v>12</v>
      </c>
    </row>
    <row r="33" spans="1:17" s="651" customFormat="1">
      <c r="A33" s="455"/>
      <c r="B33" s="455"/>
      <c r="C33" s="652"/>
      <c r="D33" s="455"/>
      <c r="E33" s="653"/>
      <c r="F33" s="455"/>
      <c r="G33" s="647"/>
      <c r="H33" s="455"/>
      <c r="I33" s="653"/>
      <c r="J33" s="653"/>
      <c r="K33" s="455"/>
      <c r="L33" s="455"/>
      <c r="M33" s="1404" t="str">
        <f>+IFERROR(VLOOKUP(G33,'S1&amp;2 Lists'!$C$4:$G$200,3,FALSE),"-")</f>
        <v>-</v>
      </c>
      <c r="N33" s="1404" t="str">
        <f t="shared" si="0"/>
        <v>-</v>
      </c>
      <c r="P33" s="1405">
        <f>ROUND(IF(L33='S1&amp;2 Lists'!$CV$3,K33,IF(L33='S1&amp;2 Lists'!$CV$4,K33/'S1&amp;2 Lists'!$CQ$6,0)),3)</f>
        <v>0</v>
      </c>
      <c r="Q33" s="10" t="s">
        <v>12</v>
      </c>
    </row>
    <row r="34" spans="1:17" s="651" customFormat="1">
      <c r="A34" s="455"/>
      <c r="B34" s="455"/>
      <c r="C34" s="652"/>
      <c r="D34" s="455"/>
      <c r="E34" s="653"/>
      <c r="F34" s="455"/>
      <c r="G34" s="647"/>
      <c r="H34" s="455"/>
      <c r="I34" s="653"/>
      <c r="J34" s="653"/>
      <c r="K34" s="455"/>
      <c r="L34" s="455"/>
      <c r="M34" s="1404" t="str">
        <f>+IFERROR(VLOOKUP(G34,'S1&amp;2 Lists'!$C$4:$G$200,3,FALSE),"-")</f>
        <v>-</v>
      </c>
      <c r="N34" s="1404" t="str">
        <f t="shared" si="0"/>
        <v>-</v>
      </c>
      <c r="P34" s="1405">
        <f>ROUND(IF(L34='S1&amp;2 Lists'!$CV$3,K34,IF(L34='S1&amp;2 Lists'!$CV$4,K34/'S1&amp;2 Lists'!$CQ$6,0)),3)</f>
        <v>0</v>
      </c>
      <c r="Q34" s="10" t="s">
        <v>12</v>
      </c>
    </row>
    <row r="35" spans="1:17" s="651" customFormat="1">
      <c r="A35" s="455"/>
      <c r="B35" s="455"/>
      <c r="C35" s="652"/>
      <c r="D35" s="455"/>
      <c r="E35" s="653"/>
      <c r="F35" s="455"/>
      <c r="G35" s="647"/>
      <c r="H35" s="455"/>
      <c r="I35" s="653"/>
      <c r="J35" s="653"/>
      <c r="K35" s="455"/>
      <c r="L35" s="455"/>
      <c r="M35" s="1404" t="str">
        <f>+IFERROR(VLOOKUP(G35,'S1&amp;2 Lists'!$C$4:$G$200,3,FALSE),"-")</f>
        <v>-</v>
      </c>
      <c r="N35" s="1404" t="str">
        <f t="shared" si="0"/>
        <v>-</v>
      </c>
      <c r="P35" s="1405">
        <f>ROUND(IF(L35='S1&amp;2 Lists'!$CV$3,K35,IF(L35='S1&amp;2 Lists'!$CV$4,K35/'S1&amp;2 Lists'!$CQ$6,0)),3)</f>
        <v>0</v>
      </c>
      <c r="Q35" s="10" t="s">
        <v>12</v>
      </c>
    </row>
    <row r="36" spans="1:17" s="651" customFormat="1">
      <c r="A36" s="455"/>
      <c r="B36" s="455"/>
      <c r="C36" s="652"/>
      <c r="D36" s="455"/>
      <c r="E36" s="653"/>
      <c r="F36" s="455"/>
      <c r="G36" s="647"/>
      <c r="H36" s="455"/>
      <c r="I36" s="653"/>
      <c r="J36" s="653"/>
      <c r="K36" s="455"/>
      <c r="L36" s="455"/>
      <c r="M36" s="1404" t="str">
        <f>+IFERROR(VLOOKUP(G36,'S1&amp;2 Lists'!$C$4:$G$200,3,FALSE),"-")</f>
        <v>-</v>
      </c>
      <c r="N36" s="1404" t="str">
        <f t="shared" si="0"/>
        <v>-</v>
      </c>
      <c r="P36" s="1405">
        <f>ROUND(IF(L36='S1&amp;2 Lists'!$CV$3,K36,IF(L36='S1&amp;2 Lists'!$CV$4,K36/'S1&amp;2 Lists'!$CQ$6,0)),3)</f>
        <v>0</v>
      </c>
      <c r="Q36" s="10" t="s">
        <v>12</v>
      </c>
    </row>
    <row r="37" spans="1:17" s="651" customFormat="1">
      <c r="A37" s="455"/>
      <c r="B37" s="455"/>
      <c r="C37" s="652"/>
      <c r="D37" s="455"/>
      <c r="E37" s="653"/>
      <c r="F37" s="455"/>
      <c r="G37" s="647"/>
      <c r="H37" s="455"/>
      <c r="I37" s="653"/>
      <c r="J37" s="653"/>
      <c r="K37" s="455"/>
      <c r="L37" s="455"/>
      <c r="M37" s="1404" t="str">
        <f>+IFERROR(VLOOKUP(G37,'S1&amp;2 Lists'!$C$4:$G$200,3,FALSE),"-")</f>
        <v>-</v>
      </c>
      <c r="N37" s="1404" t="str">
        <f t="shared" si="0"/>
        <v>-</v>
      </c>
      <c r="P37" s="1405">
        <f>ROUND(IF(L37='S1&amp;2 Lists'!$CV$3,K37,IF(L37='S1&amp;2 Lists'!$CV$4,K37/'S1&amp;2 Lists'!$CQ$6,0)),3)</f>
        <v>0</v>
      </c>
      <c r="Q37" s="10" t="s">
        <v>12</v>
      </c>
    </row>
    <row r="38" spans="1:17" s="651" customFormat="1">
      <c r="A38" s="455"/>
      <c r="B38" s="455"/>
      <c r="C38" s="652"/>
      <c r="D38" s="455"/>
      <c r="E38" s="653"/>
      <c r="F38" s="455"/>
      <c r="G38" s="647"/>
      <c r="H38" s="455"/>
      <c r="I38" s="653"/>
      <c r="J38" s="653"/>
      <c r="K38" s="455"/>
      <c r="L38" s="455"/>
      <c r="M38" s="1404" t="str">
        <f>+IFERROR(VLOOKUP(G38,'S1&amp;2 Lists'!$C$4:$G$200,3,FALSE),"-")</f>
        <v>-</v>
      </c>
      <c r="N38" s="1404" t="str">
        <f t="shared" si="0"/>
        <v>-</v>
      </c>
      <c r="P38" s="1405">
        <f>ROUND(IF(L38='S1&amp;2 Lists'!$CV$3,K38,IF(L38='S1&amp;2 Lists'!$CV$4,K38/'S1&amp;2 Lists'!$CQ$6,0)),3)</f>
        <v>0</v>
      </c>
      <c r="Q38" s="10" t="s">
        <v>12</v>
      </c>
    </row>
    <row r="39" spans="1:17" s="651" customFormat="1">
      <c r="A39" s="455"/>
      <c r="B39" s="455"/>
      <c r="C39" s="652"/>
      <c r="D39" s="455"/>
      <c r="E39" s="653"/>
      <c r="F39" s="455"/>
      <c r="G39" s="647"/>
      <c r="H39" s="455"/>
      <c r="I39" s="653"/>
      <c r="J39" s="653"/>
      <c r="K39" s="455"/>
      <c r="L39" s="455"/>
      <c r="M39" s="1404" t="str">
        <f>+IFERROR(VLOOKUP(G39,'S1&amp;2 Lists'!$C$4:$G$200,3,FALSE),"-")</f>
        <v>-</v>
      </c>
      <c r="N39" s="1404" t="str">
        <f t="shared" si="0"/>
        <v>-</v>
      </c>
      <c r="P39" s="1405">
        <f>ROUND(IF(L39='S1&amp;2 Lists'!$CV$3,K39,IF(L39='S1&amp;2 Lists'!$CV$4,K39/'S1&amp;2 Lists'!$CQ$6,0)),3)</f>
        <v>0</v>
      </c>
      <c r="Q39" s="10" t="s">
        <v>12</v>
      </c>
    </row>
    <row r="40" spans="1:17" s="651" customFormat="1">
      <c r="A40" s="455"/>
      <c r="B40" s="455"/>
      <c r="C40" s="652"/>
      <c r="D40" s="455"/>
      <c r="E40" s="653"/>
      <c r="F40" s="455"/>
      <c r="G40" s="647"/>
      <c r="H40" s="455"/>
      <c r="I40" s="653"/>
      <c r="J40" s="653"/>
      <c r="K40" s="455"/>
      <c r="L40" s="455"/>
      <c r="M40" s="1404" t="str">
        <f>+IFERROR(VLOOKUP(G40,'S1&amp;2 Lists'!$C$4:$G$200,3,FALSE),"-")</f>
        <v>-</v>
      </c>
      <c r="N40" s="1404" t="str">
        <f t="shared" si="0"/>
        <v>-</v>
      </c>
      <c r="P40" s="1405">
        <f>ROUND(IF(L40='S1&amp;2 Lists'!$CV$3,K40,IF(L40='S1&amp;2 Lists'!$CV$4,K40/'S1&amp;2 Lists'!$CQ$6,0)),3)</f>
        <v>0</v>
      </c>
      <c r="Q40" s="10" t="s">
        <v>12</v>
      </c>
    </row>
    <row r="41" spans="1:17" s="651" customFormat="1">
      <c r="A41" s="455"/>
      <c r="B41" s="455"/>
      <c r="C41" s="652"/>
      <c r="D41" s="455"/>
      <c r="E41" s="653"/>
      <c r="F41" s="455"/>
      <c r="G41" s="647"/>
      <c r="H41" s="455"/>
      <c r="I41" s="653"/>
      <c r="J41" s="653"/>
      <c r="K41" s="455"/>
      <c r="L41" s="455"/>
      <c r="M41" s="1404" t="str">
        <f>+IFERROR(VLOOKUP(G41,'S1&amp;2 Lists'!$C$4:$G$200,3,FALSE),"-")</f>
        <v>-</v>
      </c>
      <c r="N41" s="1404" t="str">
        <f t="shared" si="0"/>
        <v>-</v>
      </c>
      <c r="P41" s="1405">
        <f>ROUND(IF(L41='S1&amp;2 Lists'!$CV$3,K41,IF(L41='S1&amp;2 Lists'!$CV$4,K41/'S1&amp;2 Lists'!$CQ$6,0)),3)</f>
        <v>0</v>
      </c>
      <c r="Q41" s="10" t="s">
        <v>12</v>
      </c>
    </row>
    <row r="42" spans="1:17" s="651" customFormat="1">
      <c r="A42" s="455"/>
      <c r="B42" s="455"/>
      <c r="C42" s="652"/>
      <c r="D42" s="455"/>
      <c r="E42" s="653"/>
      <c r="F42" s="455"/>
      <c r="G42" s="647"/>
      <c r="H42" s="455"/>
      <c r="I42" s="653"/>
      <c r="J42" s="653"/>
      <c r="K42" s="455"/>
      <c r="L42" s="455"/>
      <c r="M42" s="1404" t="str">
        <f>+IFERROR(VLOOKUP(G42,'S1&amp;2 Lists'!$C$4:$G$200,3,FALSE),"-")</f>
        <v>-</v>
      </c>
      <c r="N42" s="1404" t="str">
        <f t="shared" si="0"/>
        <v>-</v>
      </c>
      <c r="P42" s="1405">
        <f>ROUND(IF(L42='S1&amp;2 Lists'!$CV$3,K42,IF(L42='S1&amp;2 Lists'!$CV$4,K42/'S1&amp;2 Lists'!$CQ$6,0)),3)</f>
        <v>0</v>
      </c>
      <c r="Q42" s="10" t="s">
        <v>12</v>
      </c>
    </row>
    <row r="43" spans="1:17" s="651" customFormat="1">
      <c r="A43" s="455"/>
      <c r="B43" s="455"/>
      <c r="C43" s="652"/>
      <c r="D43" s="455"/>
      <c r="E43" s="653"/>
      <c r="F43" s="455"/>
      <c r="G43" s="647"/>
      <c r="H43" s="455"/>
      <c r="I43" s="653"/>
      <c r="J43" s="653"/>
      <c r="K43" s="455"/>
      <c r="L43" s="455"/>
      <c r="M43" s="1404" t="str">
        <f>+IFERROR(VLOOKUP(G43,'S1&amp;2 Lists'!$C$4:$G$200,3,FALSE),"-")</f>
        <v>-</v>
      </c>
      <c r="N43" s="1404" t="str">
        <f t="shared" si="0"/>
        <v>-</v>
      </c>
      <c r="P43" s="1405">
        <f>ROUND(IF(L43='S1&amp;2 Lists'!$CV$3,K43,IF(L43='S1&amp;2 Lists'!$CV$4,K43/'S1&amp;2 Lists'!$CQ$6,0)),3)</f>
        <v>0</v>
      </c>
      <c r="Q43" s="10" t="s">
        <v>12</v>
      </c>
    </row>
    <row r="44" spans="1:17" s="651" customFormat="1">
      <c r="A44" s="455"/>
      <c r="B44" s="455"/>
      <c r="C44" s="652"/>
      <c r="D44" s="455"/>
      <c r="E44" s="653"/>
      <c r="F44" s="455"/>
      <c r="G44" s="647"/>
      <c r="H44" s="455"/>
      <c r="I44" s="653"/>
      <c r="J44" s="653"/>
      <c r="K44" s="455"/>
      <c r="L44" s="455"/>
      <c r="M44" s="1404" t="str">
        <f>+IFERROR(VLOOKUP(G44,'S1&amp;2 Lists'!$C$4:$G$200,3,FALSE),"-")</f>
        <v>-</v>
      </c>
      <c r="N44" s="1404" t="str">
        <f t="shared" si="0"/>
        <v>-</v>
      </c>
      <c r="P44" s="1405">
        <f>ROUND(IF(L44='S1&amp;2 Lists'!$CV$3,K44,IF(L44='S1&amp;2 Lists'!$CV$4,K44/'S1&amp;2 Lists'!$CQ$6,0)),3)</f>
        <v>0</v>
      </c>
      <c r="Q44" s="10" t="s">
        <v>12</v>
      </c>
    </row>
    <row r="45" spans="1:17" s="651" customFormat="1">
      <c r="A45" s="455"/>
      <c r="B45" s="455"/>
      <c r="C45" s="652"/>
      <c r="D45" s="455"/>
      <c r="E45" s="653"/>
      <c r="F45" s="455"/>
      <c r="G45" s="647"/>
      <c r="H45" s="455"/>
      <c r="I45" s="653"/>
      <c r="J45" s="653"/>
      <c r="K45" s="455"/>
      <c r="L45" s="455"/>
      <c r="M45" s="1404" t="str">
        <f>+IFERROR(VLOOKUP(G45,'S1&amp;2 Lists'!$C$4:$G$200,3,FALSE),"-")</f>
        <v>-</v>
      </c>
      <c r="N45" s="1404" t="str">
        <f t="shared" si="0"/>
        <v>-</v>
      </c>
      <c r="P45" s="1405">
        <f>ROUND(IF(L45='S1&amp;2 Lists'!$CV$3,K45,IF(L45='S1&amp;2 Lists'!$CV$4,K45/'S1&amp;2 Lists'!$CQ$6,0)),3)</f>
        <v>0</v>
      </c>
      <c r="Q45" s="10" t="s">
        <v>12</v>
      </c>
    </row>
    <row r="46" spans="1:17" s="651" customFormat="1">
      <c r="A46" s="455"/>
      <c r="B46" s="455"/>
      <c r="C46" s="652"/>
      <c r="D46" s="455"/>
      <c r="E46" s="653"/>
      <c r="F46" s="455"/>
      <c r="G46" s="647"/>
      <c r="H46" s="455"/>
      <c r="I46" s="653"/>
      <c r="J46" s="653"/>
      <c r="K46" s="455"/>
      <c r="L46" s="455"/>
      <c r="M46" s="1404" t="str">
        <f>+IFERROR(VLOOKUP(G46,'S1&amp;2 Lists'!$C$4:$G$200,3,FALSE),"-")</f>
        <v>-</v>
      </c>
      <c r="N46" s="1404" t="str">
        <f t="shared" si="0"/>
        <v>-</v>
      </c>
      <c r="P46" s="1405">
        <f>ROUND(IF(L46='S1&amp;2 Lists'!$CV$3,K46,IF(L46='S1&amp;2 Lists'!$CV$4,K46/'S1&amp;2 Lists'!$CQ$6,0)),3)</f>
        <v>0</v>
      </c>
      <c r="Q46" s="10" t="s">
        <v>12</v>
      </c>
    </row>
    <row r="47" spans="1:17" s="651" customFormat="1">
      <c r="A47" s="455"/>
      <c r="B47" s="455"/>
      <c r="C47" s="652"/>
      <c r="D47" s="455"/>
      <c r="E47" s="653"/>
      <c r="F47" s="455"/>
      <c r="G47" s="647"/>
      <c r="H47" s="455"/>
      <c r="I47" s="653"/>
      <c r="J47" s="455"/>
      <c r="K47" s="455"/>
      <c r="L47" s="455"/>
      <c r="M47" s="1404" t="str">
        <f>+IFERROR(VLOOKUP(G47,'S1&amp;2 Lists'!$C$4:$G$200,3,FALSE),"-")</f>
        <v>-</v>
      </c>
      <c r="N47" s="1404" t="str">
        <f t="shared" si="0"/>
        <v>-</v>
      </c>
      <c r="P47" s="1405">
        <f>ROUND(IF(L47='S1&amp;2 Lists'!$CV$3,K47,IF(L47='S1&amp;2 Lists'!$CV$4,K47/'S1&amp;2 Lists'!$CQ$6,0)),3)</f>
        <v>0</v>
      </c>
      <c r="Q47" s="10" t="s">
        <v>12</v>
      </c>
    </row>
    <row r="48" spans="1:17" s="651" customFormat="1">
      <c r="A48" s="455"/>
      <c r="B48" s="455"/>
      <c r="C48" s="652"/>
      <c r="D48" s="455"/>
      <c r="E48" s="653"/>
      <c r="F48" s="455"/>
      <c r="G48" s="647"/>
      <c r="H48" s="455"/>
      <c r="I48" s="653"/>
      <c r="J48" s="455"/>
      <c r="K48" s="455"/>
      <c r="L48" s="455"/>
      <c r="M48" s="1404" t="str">
        <f>+IFERROR(VLOOKUP(G48,'S1&amp;2 Lists'!$C$4:$G$200,3,FALSE),"-")</f>
        <v>-</v>
      </c>
      <c r="N48" s="1404" t="str">
        <f t="shared" si="0"/>
        <v>-</v>
      </c>
      <c r="P48" s="1405">
        <f>ROUND(IF(L48='S1&amp;2 Lists'!$CV$3,K48,IF(L48='S1&amp;2 Lists'!$CV$4,K48/'S1&amp;2 Lists'!$CQ$6,0)),3)</f>
        <v>0</v>
      </c>
      <c r="Q48" s="10" t="s">
        <v>12</v>
      </c>
    </row>
    <row r="49" spans="1:17" s="651" customFormat="1">
      <c r="A49" s="455"/>
      <c r="B49" s="455"/>
      <c r="C49" s="652"/>
      <c r="D49" s="455"/>
      <c r="E49" s="653"/>
      <c r="F49" s="455"/>
      <c r="G49" s="647"/>
      <c r="H49" s="455"/>
      <c r="I49" s="653"/>
      <c r="J49" s="455"/>
      <c r="K49" s="455"/>
      <c r="L49" s="455"/>
      <c r="M49" s="1404" t="str">
        <f>+IFERROR(VLOOKUP(G49,'S1&amp;2 Lists'!$C$4:$G$200,3,FALSE),"-")</f>
        <v>-</v>
      </c>
      <c r="N49" s="1404" t="str">
        <f t="shared" si="0"/>
        <v>-</v>
      </c>
      <c r="P49" s="1405">
        <f>ROUND(IF(L49='S1&amp;2 Lists'!$CV$3,K49,IF(L49='S1&amp;2 Lists'!$CV$4,K49/'S1&amp;2 Lists'!$CQ$6,0)),3)</f>
        <v>0</v>
      </c>
      <c r="Q49" s="10" t="s">
        <v>12</v>
      </c>
    </row>
    <row r="50" spans="1:17" s="651" customFormat="1">
      <c r="A50" s="455"/>
      <c r="B50" s="455"/>
      <c r="C50" s="652"/>
      <c r="D50" s="455"/>
      <c r="E50" s="653"/>
      <c r="F50" s="455"/>
      <c r="G50" s="647"/>
      <c r="H50" s="455"/>
      <c r="I50" s="653"/>
      <c r="J50" s="455"/>
      <c r="K50" s="455"/>
      <c r="L50" s="455"/>
      <c r="M50" s="1404" t="str">
        <f>+IFERROR(VLOOKUP(G50,'S1&amp;2 Lists'!$C$4:$G$200,3,FALSE),"-")</f>
        <v>-</v>
      </c>
      <c r="N50" s="1404" t="str">
        <f t="shared" si="0"/>
        <v>-</v>
      </c>
      <c r="P50" s="1405">
        <f>ROUND(IF(L50='S1&amp;2 Lists'!$CV$3,K50,IF(L50='S1&amp;2 Lists'!$CV$4,K50/'S1&amp;2 Lists'!$CQ$6,0)),3)</f>
        <v>0</v>
      </c>
      <c r="Q50" s="10" t="s">
        <v>12</v>
      </c>
    </row>
    <row r="51" spans="1:17" s="651" customFormat="1">
      <c r="A51" s="455"/>
      <c r="B51" s="455"/>
      <c r="C51" s="652"/>
      <c r="D51" s="455"/>
      <c r="E51" s="653"/>
      <c r="F51" s="455"/>
      <c r="G51" s="647"/>
      <c r="H51" s="455"/>
      <c r="I51" s="653"/>
      <c r="J51" s="455"/>
      <c r="K51" s="455"/>
      <c r="L51" s="455"/>
      <c r="M51" s="1404" t="str">
        <f>+IFERROR(VLOOKUP(G51,'S1&amp;2 Lists'!$C$4:$G$200,3,FALSE),"-")</f>
        <v>-</v>
      </c>
      <c r="N51" s="1404" t="str">
        <f t="shared" si="0"/>
        <v>-</v>
      </c>
      <c r="P51" s="1405">
        <f>ROUND(IF(L51='S1&amp;2 Lists'!$CV$3,K51,IF(L51='S1&amp;2 Lists'!$CV$4,K51/'S1&amp;2 Lists'!$CQ$6,0)),3)</f>
        <v>0</v>
      </c>
      <c r="Q51" s="10" t="s">
        <v>12</v>
      </c>
    </row>
    <row r="52" spans="1:17" s="651" customFormat="1">
      <c r="A52" s="455"/>
      <c r="B52" s="455"/>
      <c r="C52" s="652"/>
      <c r="D52" s="455"/>
      <c r="E52" s="653"/>
      <c r="F52" s="455"/>
      <c r="G52" s="647"/>
      <c r="H52" s="455"/>
      <c r="I52" s="653"/>
      <c r="J52" s="455"/>
      <c r="K52" s="455"/>
      <c r="L52" s="455"/>
      <c r="M52" s="1404" t="str">
        <f>+IFERROR(VLOOKUP(G52,'S1&amp;2 Lists'!$C$4:$G$200,3,FALSE),"-")</f>
        <v>-</v>
      </c>
      <c r="N52" s="1404" t="str">
        <f t="shared" si="0"/>
        <v>-</v>
      </c>
      <c r="P52" s="1405">
        <f>ROUND(IF(L52='S1&amp;2 Lists'!$CV$3,K52,IF(L52='S1&amp;2 Lists'!$CV$4,K52/'S1&amp;2 Lists'!$CQ$6,0)),3)</f>
        <v>0</v>
      </c>
      <c r="Q52" s="10" t="s">
        <v>12</v>
      </c>
    </row>
    <row r="53" spans="1:17" s="651" customFormat="1">
      <c r="A53" s="455"/>
      <c r="B53" s="455"/>
      <c r="C53" s="652"/>
      <c r="D53" s="455"/>
      <c r="E53" s="653"/>
      <c r="F53" s="455"/>
      <c r="G53" s="647"/>
      <c r="H53" s="455"/>
      <c r="I53" s="653"/>
      <c r="J53" s="455"/>
      <c r="K53" s="455"/>
      <c r="L53" s="455"/>
      <c r="M53" s="1404" t="str">
        <f>+IFERROR(VLOOKUP(G53,'S1&amp;2 Lists'!$C$4:$G$200,3,FALSE),"-")</f>
        <v>-</v>
      </c>
      <c r="N53" s="1404" t="str">
        <f t="shared" si="0"/>
        <v>-</v>
      </c>
      <c r="P53" s="1405">
        <f>ROUND(IF(L53='S1&amp;2 Lists'!$CV$3,K53,IF(L53='S1&amp;2 Lists'!$CV$4,K53/'S1&amp;2 Lists'!$CQ$6,0)),3)</f>
        <v>0</v>
      </c>
      <c r="Q53" s="10" t="s">
        <v>12</v>
      </c>
    </row>
    <row r="54" spans="1:17" s="651" customFormat="1">
      <c r="A54" s="455"/>
      <c r="B54" s="455"/>
      <c r="C54" s="652"/>
      <c r="D54" s="455"/>
      <c r="E54" s="653"/>
      <c r="F54" s="455"/>
      <c r="G54" s="647"/>
      <c r="H54" s="455"/>
      <c r="I54" s="653"/>
      <c r="J54" s="455"/>
      <c r="K54" s="455"/>
      <c r="L54" s="455"/>
      <c r="M54" s="1404" t="str">
        <f>+IFERROR(VLOOKUP(G54,'S1&amp;2 Lists'!$C$4:$G$200,3,FALSE),"-")</f>
        <v>-</v>
      </c>
      <c r="N54" s="1404" t="str">
        <f t="shared" si="0"/>
        <v>-</v>
      </c>
      <c r="P54" s="1405">
        <f>ROUND(IF(L54='S1&amp;2 Lists'!$CV$3,K54,IF(L54='S1&amp;2 Lists'!$CV$4,K54/'S1&amp;2 Lists'!$CQ$6,0)),3)</f>
        <v>0</v>
      </c>
      <c r="Q54" s="10" t="s">
        <v>12</v>
      </c>
    </row>
    <row r="55" spans="1:17" s="651" customFormat="1">
      <c r="A55" s="455"/>
      <c r="B55" s="455"/>
      <c r="C55" s="652"/>
      <c r="D55" s="455"/>
      <c r="E55" s="653"/>
      <c r="F55" s="455"/>
      <c r="G55" s="647"/>
      <c r="H55" s="455"/>
      <c r="I55" s="653"/>
      <c r="J55" s="455"/>
      <c r="K55" s="455"/>
      <c r="L55" s="455"/>
      <c r="M55" s="1404" t="str">
        <f>+IFERROR(VLOOKUP(G55,'S1&amp;2 Lists'!$C$4:$G$200,3,FALSE),"-")</f>
        <v>-</v>
      </c>
      <c r="N55" s="1404" t="str">
        <f t="shared" si="0"/>
        <v>-</v>
      </c>
      <c r="P55" s="1405">
        <f>ROUND(IF(L55='S1&amp;2 Lists'!$CV$3,K55,IF(L55='S1&amp;2 Lists'!$CV$4,K55/'S1&amp;2 Lists'!$CQ$6,0)),3)</f>
        <v>0</v>
      </c>
      <c r="Q55" s="10" t="s">
        <v>12</v>
      </c>
    </row>
    <row r="56" spans="1:17" s="651" customFormat="1">
      <c r="A56" s="455"/>
      <c r="B56" s="455"/>
      <c r="C56" s="652"/>
      <c r="D56" s="455"/>
      <c r="E56" s="653"/>
      <c r="F56" s="455"/>
      <c r="G56" s="647"/>
      <c r="H56" s="455"/>
      <c r="I56" s="653"/>
      <c r="J56" s="455"/>
      <c r="K56" s="455"/>
      <c r="L56" s="455"/>
      <c r="M56" s="1404" t="str">
        <f>+IFERROR(VLOOKUP(G56,'S1&amp;2 Lists'!$C$4:$G$200,3,FALSE),"-")</f>
        <v>-</v>
      </c>
      <c r="N56" s="1404" t="str">
        <f t="shared" si="0"/>
        <v>-</v>
      </c>
      <c r="P56" s="1405">
        <f>ROUND(IF(L56='S1&amp;2 Lists'!$CV$3,K56,IF(L56='S1&amp;2 Lists'!$CV$4,K56/'S1&amp;2 Lists'!$CQ$6,0)),3)</f>
        <v>0</v>
      </c>
      <c r="Q56" s="10" t="s">
        <v>12</v>
      </c>
    </row>
    <row r="57" spans="1:17" s="651" customFormat="1">
      <c r="A57" s="455"/>
      <c r="B57" s="455"/>
      <c r="C57" s="652"/>
      <c r="D57" s="455"/>
      <c r="E57" s="653"/>
      <c r="F57" s="455"/>
      <c r="G57" s="647"/>
      <c r="H57" s="455"/>
      <c r="I57" s="653"/>
      <c r="J57" s="455"/>
      <c r="K57" s="455"/>
      <c r="L57" s="455"/>
      <c r="M57" s="1404" t="str">
        <f>+IFERROR(VLOOKUP(G57,'S1&amp;2 Lists'!$C$4:$G$200,3,FALSE),"-")</f>
        <v>-</v>
      </c>
      <c r="N57" s="1404" t="str">
        <f t="shared" si="0"/>
        <v>-</v>
      </c>
      <c r="P57" s="1405">
        <f>ROUND(IF(L57='S1&amp;2 Lists'!$CV$3,K57,IF(L57='S1&amp;2 Lists'!$CV$4,K57/'S1&amp;2 Lists'!$CQ$6,0)),3)</f>
        <v>0</v>
      </c>
      <c r="Q57" s="10" t="s">
        <v>12</v>
      </c>
    </row>
    <row r="58" spans="1:17" s="651" customFormat="1">
      <c r="A58" s="455"/>
      <c r="B58" s="455"/>
      <c r="C58" s="652"/>
      <c r="D58" s="455"/>
      <c r="E58" s="653"/>
      <c r="F58" s="455"/>
      <c r="G58" s="647"/>
      <c r="H58" s="455"/>
      <c r="I58" s="653"/>
      <c r="J58" s="455"/>
      <c r="K58" s="455"/>
      <c r="L58" s="455"/>
      <c r="M58" s="1404" t="str">
        <f>+IFERROR(VLOOKUP(G58,'S1&amp;2 Lists'!$C$4:$G$200,3,FALSE),"-")</f>
        <v>-</v>
      </c>
      <c r="N58" s="1404" t="str">
        <f t="shared" si="0"/>
        <v>-</v>
      </c>
      <c r="P58" s="1405">
        <f>ROUND(IF(L58='S1&amp;2 Lists'!$CV$3,K58,IF(L58='S1&amp;2 Lists'!$CV$4,K58/'S1&amp;2 Lists'!$CQ$6,0)),3)</f>
        <v>0</v>
      </c>
      <c r="Q58" s="10" t="s">
        <v>12</v>
      </c>
    </row>
    <row r="59" spans="1:17" s="651" customFormat="1">
      <c r="A59" s="455"/>
      <c r="B59" s="455"/>
      <c r="C59" s="652"/>
      <c r="D59" s="455"/>
      <c r="E59" s="653"/>
      <c r="F59" s="455"/>
      <c r="G59" s="647"/>
      <c r="H59" s="455"/>
      <c r="I59" s="653"/>
      <c r="J59" s="455"/>
      <c r="K59" s="455"/>
      <c r="L59" s="455"/>
      <c r="M59" s="1404" t="str">
        <f>+IFERROR(VLOOKUP(G59,'S1&amp;2 Lists'!$C$4:$G$200,3,FALSE),"-")</f>
        <v>-</v>
      </c>
      <c r="N59" s="1404" t="str">
        <f t="shared" si="0"/>
        <v>-</v>
      </c>
      <c r="P59" s="1405">
        <f>ROUND(IF(L59='S1&amp;2 Lists'!$CV$3,K59,IF(L59='S1&amp;2 Lists'!$CV$4,K59/'S1&amp;2 Lists'!$CQ$6,0)),3)</f>
        <v>0</v>
      </c>
      <c r="Q59" s="10" t="s">
        <v>12</v>
      </c>
    </row>
    <row r="60" spans="1:17" s="651" customFormat="1">
      <c r="A60" s="455"/>
      <c r="B60" s="455"/>
      <c r="C60" s="652"/>
      <c r="D60" s="455"/>
      <c r="E60" s="653"/>
      <c r="F60" s="455"/>
      <c r="G60" s="647"/>
      <c r="H60" s="455"/>
      <c r="I60" s="653"/>
      <c r="J60" s="455"/>
      <c r="K60" s="455"/>
      <c r="L60" s="455"/>
      <c r="M60" s="1404" t="str">
        <f>+IFERROR(VLOOKUP(G60,'S1&amp;2 Lists'!$C$4:$G$200,3,FALSE),"-")</f>
        <v>-</v>
      </c>
      <c r="N60" s="1404" t="str">
        <f t="shared" si="0"/>
        <v>-</v>
      </c>
      <c r="P60" s="1405">
        <f>ROUND(IF(L60='S1&amp;2 Lists'!$CV$3,K60,IF(L60='S1&amp;2 Lists'!$CV$4,K60/'S1&amp;2 Lists'!$CQ$6,0)),3)</f>
        <v>0</v>
      </c>
      <c r="Q60" s="10" t="s">
        <v>12</v>
      </c>
    </row>
    <row r="61" spans="1:17" s="651" customFormat="1">
      <c r="A61" s="455"/>
      <c r="B61" s="455"/>
      <c r="C61" s="652"/>
      <c r="D61" s="455"/>
      <c r="E61" s="653"/>
      <c r="F61" s="455"/>
      <c r="G61" s="647"/>
      <c r="H61" s="455"/>
      <c r="I61" s="653"/>
      <c r="J61" s="455"/>
      <c r="K61" s="455"/>
      <c r="L61" s="455"/>
      <c r="M61" s="1404" t="str">
        <f>+IFERROR(VLOOKUP(G61,'S1&amp;2 Lists'!$C$4:$G$200,3,FALSE),"-")</f>
        <v>-</v>
      </c>
      <c r="N61" s="1404" t="str">
        <f t="shared" si="0"/>
        <v>-</v>
      </c>
      <c r="P61" s="1405">
        <f>ROUND(IF(L61='S1&amp;2 Lists'!$CV$3,K61,IF(L61='S1&amp;2 Lists'!$CV$4,K61/'S1&amp;2 Lists'!$CQ$6,0)),3)</f>
        <v>0</v>
      </c>
      <c r="Q61" s="10" t="s">
        <v>12</v>
      </c>
    </row>
    <row r="62" spans="1:17" s="651" customFormat="1">
      <c r="A62" s="455"/>
      <c r="B62" s="455"/>
      <c r="C62" s="652"/>
      <c r="D62" s="455"/>
      <c r="E62" s="653"/>
      <c r="F62" s="455"/>
      <c r="G62" s="647"/>
      <c r="H62" s="455"/>
      <c r="I62" s="653"/>
      <c r="J62" s="455"/>
      <c r="K62" s="455"/>
      <c r="L62" s="455"/>
      <c r="M62" s="1404" t="str">
        <f>+IFERROR(VLOOKUP(G62,'S1&amp;2 Lists'!$C$4:$G$200,3,FALSE),"-")</f>
        <v>-</v>
      </c>
      <c r="N62" s="1404" t="str">
        <f t="shared" si="0"/>
        <v>-</v>
      </c>
      <c r="P62" s="1405">
        <f>ROUND(IF(L62='S1&amp;2 Lists'!$CV$3,K62,IF(L62='S1&amp;2 Lists'!$CV$4,K62/'S1&amp;2 Lists'!$CQ$6,0)),3)</f>
        <v>0</v>
      </c>
      <c r="Q62" s="10" t="s">
        <v>12</v>
      </c>
    </row>
    <row r="63" spans="1:17" s="651" customFormat="1">
      <c r="A63" s="455"/>
      <c r="B63" s="455"/>
      <c r="C63" s="652"/>
      <c r="D63" s="455"/>
      <c r="E63" s="653"/>
      <c r="F63" s="455"/>
      <c r="G63" s="647"/>
      <c r="H63" s="455"/>
      <c r="I63" s="653"/>
      <c r="J63" s="455"/>
      <c r="K63" s="455"/>
      <c r="L63" s="455"/>
      <c r="M63" s="1404" t="str">
        <f>+IFERROR(VLOOKUP(G63,'S1&amp;2 Lists'!$C$4:$G$200,3,FALSE),"-")</f>
        <v>-</v>
      </c>
      <c r="N63" s="1404" t="str">
        <f t="shared" si="0"/>
        <v>-</v>
      </c>
      <c r="P63" s="1405">
        <f>ROUND(IF(L63='S1&amp;2 Lists'!$CV$3,K63,IF(L63='S1&amp;2 Lists'!$CV$4,K63/'S1&amp;2 Lists'!$CQ$6,0)),3)</f>
        <v>0</v>
      </c>
      <c r="Q63" s="10" t="s">
        <v>12</v>
      </c>
    </row>
    <row r="64" spans="1:17" s="651" customFormat="1">
      <c r="A64" s="455"/>
      <c r="B64" s="455"/>
      <c r="C64" s="652"/>
      <c r="D64" s="455"/>
      <c r="E64" s="653"/>
      <c r="F64" s="455"/>
      <c r="G64" s="647"/>
      <c r="H64" s="455"/>
      <c r="I64" s="653"/>
      <c r="J64" s="455"/>
      <c r="K64" s="455"/>
      <c r="L64" s="455"/>
      <c r="M64" s="1404" t="str">
        <f>+IFERROR(VLOOKUP(G64,'S1&amp;2 Lists'!$C$4:$G$200,3,FALSE),"-")</f>
        <v>-</v>
      </c>
      <c r="N64" s="1404" t="str">
        <f t="shared" si="0"/>
        <v>-</v>
      </c>
      <c r="P64" s="1405">
        <f>ROUND(IF(L64='S1&amp;2 Lists'!$CV$3,K64,IF(L64='S1&amp;2 Lists'!$CV$4,K64/'S1&amp;2 Lists'!$CQ$6,0)),3)</f>
        <v>0</v>
      </c>
      <c r="Q64" s="10" t="s">
        <v>12</v>
      </c>
    </row>
    <row r="65" spans="1:17" s="651" customFormat="1">
      <c r="A65" s="455"/>
      <c r="B65" s="455"/>
      <c r="C65" s="652"/>
      <c r="D65" s="455"/>
      <c r="E65" s="653"/>
      <c r="F65" s="455"/>
      <c r="G65" s="647"/>
      <c r="H65" s="455"/>
      <c r="I65" s="653"/>
      <c r="J65" s="455"/>
      <c r="K65" s="455"/>
      <c r="L65" s="455"/>
      <c r="M65" s="1404" t="str">
        <f>+IFERROR(VLOOKUP(G65,'S1&amp;2 Lists'!$C$4:$G$200,3,FALSE),"-")</f>
        <v>-</v>
      </c>
      <c r="N65" s="1404" t="str">
        <f t="shared" si="0"/>
        <v>-</v>
      </c>
      <c r="P65" s="1405">
        <f>ROUND(IF(L65='S1&amp;2 Lists'!$CV$3,K65,IF(L65='S1&amp;2 Lists'!$CV$4,K65/'S1&amp;2 Lists'!$CQ$6,0)),3)</f>
        <v>0</v>
      </c>
      <c r="Q65" s="10" t="s">
        <v>12</v>
      </c>
    </row>
    <row r="66" spans="1:17" s="651" customFormat="1">
      <c r="A66" s="455"/>
      <c r="B66" s="455"/>
      <c r="C66" s="652"/>
      <c r="D66" s="455"/>
      <c r="E66" s="653"/>
      <c r="F66" s="455"/>
      <c r="G66" s="647"/>
      <c r="H66" s="455"/>
      <c r="I66" s="653"/>
      <c r="J66" s="455"/>
      <c r="K66" s="455"/>
      <c r="L66" s="455"/>
      <c r="M66" s="1404" t="str">
        <f>+IFERROR(VLOOKUP(G66,'S1&amp;2 Lists'!$C$4:$G$200,3,FALSE),"-")</f>
        <v>-</v>
      </c>
      <c r="N66" s="1404" t="str">
        <f t="shared" si="0"/>
        <v>-</v>
      </c>
      <c r="P66" s="1405">
        <f>ROUND(IF(L66='S1&amp;2 Lists'!$CV$3,K66,IF(L66='S1&amp;2 Lists'!$CV$4,K66/'S1&amp;2 Lists'!$CQ$6,0)),3)</f>
        <v>0</v>
      </c>
      <c r="Q66" s="10" t="s">
        <v>12</v>
      </c>
    </row>
    <row r="67" spans="1:17" s="651" customFormat="1">
      <c r="A67" s="455"/>
      <c r="B67" s="455"/>
      <c r="C67" s="652"/>
      <c r="D67" s="455"/>
      <c r="E67" s="653"/>
      <c r="F67" s="455"/>
      <c r="G67" s="647"/>
      <c r="H67" s="455"/>
      <c r="I67" s="653"/>
      <c r="J67" s="455"/>
      <c r="K67" s="455"/>
      <c r="L67" s="455"/>
      <c r="M67" s="1404" t="str">
        <f>+IFERROR(VLOOKUP(G67,'S1&amp;2 Lists'!$C$4:$G$200,3,FALSE),"-")</f>
        <v>-</v>
      </c>
      <c r="N67" s="1404" t="str">
        <f t="shared" si="0"/>
        <v>-</v>
      </c>
      <c r="P67" s="1405">
        <f>ROUND(IF(L67='S1&amp;2 Lists'!$CV$3,K67,IF(L67='S1&amp;2 Lists'!$CV$4,K67/'S1&amp;2 Lists'!$CQ$6,0)),3)</f>
        <v>0</v>
      </c>
      <c r="Q67" s="10" t="s">
        <v>12</v>
      </c>
    </row>
    <row r="68" spans="1:17" s="651" customFormat="1">
      <c r="A68" s="455"/>
      <c r="B68" s="455"/>
      <c r="C68" s="652"/>
      <c r="D68" s="455"/>
      <c r="E68" s="653"/>
      <c r="F68" s="455"/>
      <c r="G68" s="647"/>
      <c r="H68" s="455"/>
      <c r="I68" s="653"/>
      <c r="J68" s="455"/>
      <c r="K68" s="455"/>
      <c r="L68" s="455"/>
      <c r="M68" s="1404" t="str">
        <f>+IFERROR(VLOOKUP(G68,'S1&amp;2 Lists'!$C$4:$G$200,3,FALSE),"-")</f>
        <v>-</v>
      </c>
      <c r="N68" s="1404" t="str">
        <f t="shared" si="0"/>
        <v>-</v>
      </c>
      <c r="P68" s="1405">
        <f>ROUND(IF(L68='S1&amp;2 Lists'!$CV$3,K68,IF(L68='S1&amp;2 Lists'!$CV$4,K68/'S1&amp;2 Lists'!$CQ$6,0)),3)</f>
        <v>0</v>
      </c>
      <c r="Q68" s="10" t="s">
        <v>12</v>
      </c>
    </row>
    <row r="69" spans="1:17" s="651" customFormat="1">
      <c r="A69" s="455"/>
      <c r="B69" s="455"/>
      <c r="C69" s="652"/>
      <c r="D69" s="455"/>
      <c r="E69" s="653"/>
      <c r="F69" s="455"/>
      <c r="G69" s="647"/>
      <c r="H69" s="455"/>
      <c r="I69" s="653"/>
      <c r="J69" s="455"/>
      <c r="K69" s="455"/>
      <c r="L69" s="455"/>
      <c r="M69" s="1404" t="str">
        <f>+IFERROR(VLOOKUP(G69,'S1&amp;2 Lists'!$C$4:$G$200,3,FALSE),"-")</f>
        <v>-</v>
      </c>
      <c r="N69" s="1404" t="str">
        <f t="shared" si="0"/>
        <v>-</v>
      </c>
      <c r="P69" s="1405">
        <f>ROUND(IF(L69='S1&amp;2 Lists'!$CV$3,K69,IF(L69='S1&amp;2 Lists'!$CV$4,K69/'S1&amp;2 Lists'!$CQ$6,0)),3)</f>
        <v>0</v>
      </c>
      <c r="Q69" s="10" t="s">
        <v>12</v>
      </c>
    </row>
    <row r="70" spans="1:17" s="651" customFormat="1">
      <c r="A70" s="455"/>
      <c r="B70" s="455"/>
      <c r="C70" s="652"/>
      <c r="D70" s="455"/>
      <c r="E70" s="653"/>
      <c r="F70" s="455"/>
      <c r="G70" s="647"/>
      <c r="H70" s="455"/>
      <c r="I70" s="653"/>
      <c r="J70" s="455"/>
      <c r="K70" s="455"/>
      <c r="L70" s="455"/>
      <c r="M70" s="1404" t="str">
        <f>+IFERROR(VLOOKUP(G70,'S1&amp;2 Lists'!$C$4:$G$200,3,FALSE),"-")</f>
        <v>-</v>
      </c>
      <c r="N70" s="1404" t="str">
        <f t="shared" si="0"/>
        <v>-</v>
      </c>
      <c r="P70" s="1405">
        <f>ROUND(IF(L70='S1&amp;2 Lists'!$CV$3,K70,IF(L70='S1&amp;2 Lists'!$CV$4,K70/'S1&amp;2 Lists'!$CQ$6,0)),3)</f>
        <v>0</v>
      </c>
      <c r="Q70" s="10" t="s">
        <v>12</v>
      </c>
    </row>
    <row r="71" spans="1:17" s="651" customFormat="1">
      <c r="A71" s="455"/>
      <c r="B71" s="455"/>
      <c r="C71" s="652"/>
      <c r="D71" s="455"/>
      <c r="E71" s="653"/>
      <c r="F71" s="455"/>
      <c r="G71" s="647"/>
      <c r="H71" s="455"/>
      <c r="I71" s="653"/>
      <c r="J71" s="455"/>
      <c r="K71" s="455"/>
      <c r="L71" s="455"/>
      <c r="M71" s="1404" t="str">
        <f>+IFERROR(VLOOKUP(G71,'S1&amp;2 Lists'!$C$4:$G$200,3,FALSE),"-")</f>
        <v>-</v>
      </c>
      <c r="N71" s="1404" t="str">
        <f t="shared" si="0"/>
        <v>-</v>
      </c>
      <c r="P71" s="1405">
        <f>ROUND(IF(L71='S1&amp;2 Lists'!$CV$3,K71,IF(L71='S1&amp;2 Lists'!$CV$4,K71/'S1&amp;2 Lists'!$CQ$6,0)),3)</f>
        <v>0</v>
      </c>
      <c r="Q71" s="10" t="s">
        <v>12</v>
      </c>
    </row>
    <row r="72" spans="1:17" s="651" customFormat="1">
      <c r="A72" s="455"/>
      <c r="B72" s="455"/>
      <c r="C72" s="652"/>
      <c r="D72" s="455"/>
      <c r="E72" s="653"/>
      <c r="F72" s="455"/>
      <c r="G72" s="647"/>
      <c r="H72" s="455"/>
      <c r="I72" s="653"/>
      <c r="J72" s="455"/>
      <c r="K72" s="455"/>
      <c r="L72" s="455"/>
      <c r="M72" s="1404" t="str">
        <f>+IFERROR(VLOOKUP(G72,'S1&amp;2 Lists'!$C$4:$G$200,3,FALSE),"-")</f>
        <v>-</v>
      </c>
      <c r="N72" s="1404" t="str">
        <f t="shared" si="0"/>
        <v>-</v>
      </c>
      <c r="P72" s="1405">
        <f>ROUND(IF(L72='S1&amp;2 Lists'!$CV$3,K72,IF(L72='S1&amp;2 Lists'!$CV$4,K72/'S1&amp;2 Lists'!$CQ$6,0)),3)</f>
        <v>0</v>
      </c>
      <c r="Q72" s="10" t="s">
        <v>12</v>
      </c>
    </row>
    <row r="73" spans="1:17" s="651" customFormat="1">
      <c r="A73" s="455"/>
      <c r="B73" s="455"/>
      <c r="C73" s="652"/>
      <c r="D73" s="455"/>
      <c r="E73" s="653"/>
      <c r="F73" s="455"/>
      <c r="G73" s="647"/>
      <c r="H73" s="455"/>
      <c r="I73" s="653"/>
      <c r="J73" s="455"/>
      <c r="K73" s="455"/>
      <c r="L73" s="455"/>
      <c r="M73" s="1404" t="str">
        <f>+IFERROR(VLOOKUP(G73,'S1&amp;2 Lists'!$C$4:$G$200,3,FALSE),"-")</f>
        <v>-</v>
      </c>
      <c r="N73" s="1404" t="str">
        <f t="shared" si="0"/>
        <v>-</v>
      </c>
      <c r="P73" s="1405">
        <f>ROUND(IF(L73='S1&amp;2 Lists'!$CV$3,K73,IF(L73='S1&amp;2 Lists'!$CV$4,K73/'S1&amp;2 Lists'!$CQ$6,0)),3)</f>
        <v>0</v>
      </c>
      <c r="Q73" s="10" t="s">
        <v>12</v>
      </c>
    </row>
    <row r="74" spans="1:17" s="651" customFormat="1">
      <c r="A74" s="455"/>
      <c r="B74" s="455"/>
      <c r="C74" s="652"/>
      <c r="D74" s="455"/>
      <c r="E74" s="653"/>
      <c r="F74" s="455"/>
      <c r="G74" s="647"/>
      <c r="H74" s="455"/>
      <c r="I74" s="653"/>
      <c r="J74" s="455"/>
      <c r="K74" s="455"/>
      <c r="L74" s="455"/>
      <c r="M74" s="1404" t="str">
        <f>+IFERROR(VLOOKUP(G74,'S1&amp;2 Lists'!$C$4:$G$200,3,FALSE),"-")</f>
        <v>-</v>
      </c>
      <c r="N74" s="1404" t="str">
        <f t="shared" si="0"/>
        <v>-</v>
      </c>
      <c r="P74" s="1405">
        <f>ROUND(IF(L74='S1&amp;2 Lists'!$CV$3,K74,IF(L74='S1&amp;2 Lists'!$CV$4,K74/'S1&amp;2 Lists'!$CQ$6,0)),3)</f>
        <v>0</v>
      </c>
      <c r="Q74" s="10" t="s">
        <v>12</v>
      </c>
    </row>
    <row r="75" spans="1:17" s="651" customFormat="1">
      <c r="A75" s="455"/>
      <c r="B75" s="455"/>
      <c r="C75" s="652"/>
      <c r="D75" s="455"/>
      <c r="E75" s="653"/>
      <c r="F75" s="455"/>
      <c r="G75" s="647"/>
      <c r="H75" s="455"/>
      <c r="I75" s="653"/>
      <c r="J75" s="455"/>
      <c r="K75" s="455"/>
      <c r="L75" s="455"/>
      <c r="M75" s="1404" t="str">
        <f>+IFERROR(VLOOKUP(G75,'S1&amp;2 Lists'!$C$4:$G$200,3,FALSE),"-")</f>
        <v>-</v>
      </c>
      <c r="N75" s="1404" t="str">
        <f t="shared" ref="N75:N138" si="1">+IFERROR(P75*M75,"-")</f>
        <v>-</v>
      </c>
      <c r="P75" s="1405">
        <f>ROUND(IF(L75='S1&amp;2 Lists'!$CV$3,K75,IF(L75='S1&amp;2 Lists'!$CV$4,K75/'S1&amp;2 Lists'!$CQ$6,0)),3)</f>
        <v>0</v>
      </c>
      <c r="Q75" s="10" t="s">
        <v>12</v>
      </c>
    </row>
    <row r="76" spans="1:17" s="651" customFormat="1">
      <c r="A76" s="455"/>
      <c r="B76" s="455"/>
      <c r="C76" s="652"/>
      <c r="D76" s="455"/>
      <c r="E76" s="653"/>
      <c r="F76" s="455"/>
      <c r="G76" s="647"/>
      <c r="H76" s="455"/>
      <c r="I76" s="653"/>
      <c r="J76" s="455"/>
      <c r="K76" s="455"/>
      <c r="L76" s="455"/>
      <c r="M76" s="1404" t="str">
        <f>+IFERROR(VLOOKUP(G76,'S1&amp;2 Lists'!$C$4:$G$200,3,FALSE),"-")</f>
        <v>-</v>
      </c>
      <c r="N76" s="1404" t="str">
        <f t="shared" si="1"/>
        <v>-</v>
      </c>
      <c r="P76" s="1405">
        <f>ROUND(IF(L76='S1&amp;2 Lists'!$CV$3,K76,IF(L76='S1&amp;2 Lists'!$CV$4,K76/'S1&amp;2 Lists'!$CQ$6,0)),3)</f>
        <v>0</v>
      </c>
      <c r="Q76" s="10" t="s">
        <v>12</v>
      </c>
    </row>
    <row r="77" spans="1:17" s="651" customFormat="1">
      <c r="A77" s="455"/>
      <c r="B77" s="455"/>
      <c r="C77" s="652"/>
      <c r="D77" s="455"/>
      <c r="E77" s="653"/>
      <c r="F77" s="455"/>
      <c r="G77" s="647"/>
      <c r="H77" s="455"/>
      <c r="I77" s="653"/>
      <c r="J77" s="455"/>
      <c r="K77" s="455"/>
      <c r="L77" s="455"/>
      <c r="M77" s="1404" t="str">
        <f>+IFERROR(VLOOKUP(G77,'S1&amp;2 Lists'!$C$4:$G$200,3,FALSE),"-")</f>
        <v>-</v>
      </c>
      <c r="N77" s="1404" t="str">
        <f t="shared" si="1"/>
        <v>-</v>
      </c>
      <c r="P77" s="1405">
        <f>ROUND(IF(L77='S1&amp;2 Lists'!$CV$3,K77,IF(L77='S1&amp;2 Lists'!$CV$4,K77/'S1&amp;2 Lists'!$CQ$6,0)),3)</f>
        <v>0</v>
      </c>
      <c r="Q77" s="10" t="s">
        <v>12</v>
      </c>
    </row>
    <row r="78" spans="1:17" s="651" customFormat="1">
      <c r="A78" s="455"/>
      <c r="B78" s="455"/>
      <c r="C78" s="652"/>
      <c r="D78" s="455"/>
      <c r="E78" s="653"/>
      <c r="F78" s="455"/>
      <c r="G78" s="647"/>
      <c r="H78" s="455"/>
      <c r="I78" s="653"/>
      <c r="J78" s="455"/>
      <c r="K78" s="455"/>
      <c r="L78" s="455"/>
      <c r="M78" s="1404" t="str">
        <f>+IFERROR(VLOOKUP(G78,'S1&amp;2 Lists'!$C$4:$G$200,3,FALSE),"-")</f>
        <v>-</v>
      </c>
      <c r="N78" s="1404" t="str">
        <f t="shared" si="1"/>
        <v>-</v>
      </c>
      <c r="P78" s="1405">
        <f>ROUND(IF(L78='S1&amp;2 Lists'!$CV$3,K78,IF(L78='S1&amp;2 Lists'!$CV$4,K78/'S1&amp;2 Lists'!$CQ$6,0)),3)</f>
        <v>0</v>
      </c>
      <c r="Q78" s="10" t="s">
        <v>12</v>
      </c>
    </row>
    <row r="79" spans="1:17" s="651" customFormat="1">
      <c r="A79" s="455"/>
      <c r="B79" s="455"/>
      <c r="C79" s="652"/>
      <c r="D79" s="455"/>
      <c r="E79" s="653"/>
      <c r="F79" s="455"/>
      <c r="G79" s="647"/>
      <c r="H79" s="455"/>
      <c r="I79" s="653"/>
      <c r="J79" s="455"/>
      <c r="K79" s="455"/>
      <c r="L79" s="455"/>
      <c r="M79" s="1404" t="str">
        <f>+IFERROR(VLOOKUP(G79,'S1&amp;2 Lists'!$C$4:$G$200,3,FALSE),"-")</f>
        <v>-</v>
      </c>
      <c r="N79" s="1404" t="str">
        <f t="shared" si="1"/>
        <v>-</v>
      </c>
      <c r="P79" s="1405">
        <f>ROUND(IF(L79='S1&amp;2 Lists'!$CV$3,K79,IF(L79='S1&amp;2 Lists'!$CV$4,K79/'S1&amp;2 Lists'!$CQ$6,0)),3)</f>
        <v>0</v>
      </c>
      <c r="Q79" s="10" t="s">
        <v>12</v>
      </c>
    </row>
    <row r="80" spans="1:17" s="651" customFormat="1">
      <c r="A80" s="455"/>
      <c r="B80" s="455"/>
      <c r="C80" s="652"/>
      <c r="D80" s="455"/>
      <c r="E80" s="653"/>
      <c r="F80" s="455"/>
      <c r="G80" s="647"/>
      <c r="H80" s="455"/>
      <c r="I80" s="653"/>
      <c r="J80" s="455"/>
      <c r="K80" s="455"/>
      <c r="L80" s="455"/>
      <c r="M80" s="1404" t="str">
        <f>+IFERROR(VLOOKUP(G80,'S1&amp;2 Lists'!$C$4:$G$200,3,FALSE),"-")</f>
        <v>-</v>
      </c>
      <c r="N80" s="1404" t="str">
        <f t="shared" si="1"/>
        <v>-</v>
      </c>
      <c r="P80" s="1405">
        <f>ROUND(IF(L80='S1&amp;2 Lists'!$CV$3,K80,IF(L80='S1&amp;2 Lists'!$CV$4,K80/'S1&amp;2 Lists'!$CQ$6,0)),3)</f>
        <v>0</v>
      </c>
      <c r="Q80" s="10" t="s">
        <v>12</v>
      </c>
    </row>
    <row r="81" spans="1:17" s="651" customFormat="1">
      <c r="A81" s="455"/>
      <c r="B81" s="455"/>
      <c r="C81" s="652"/>
      <c r="D81" s="455"/>
      <c r="E81" s="653"/>
      <c r="F81" s="455"/>
      <c r="G81" s="647"/>
      <c r="H81" s="455"/>
      <c r="I81" s="653"/>
      <c r="J81" s="455"/>
      <c r="K81" s="455"/>
      <c r="L81" s="455"/>
      <c r="M81" s="1404" t="str">
        <f>+IFERROR(VLOOKUP(G81,'S1&amp;2 Lists'!$C$4:$G$200,3,FALSE),"-")</f>
        <v>-</v>
      </c>
      <c r="N81" s="1404" t="str">
        <f t="shared" si="1"/>
        <v>-</v>
      </c>
      <c r="P81" s="1405">
        <f>ROUND(IF(L81='S1&amp;2 Lists'!$CV$3,K81,IF(L81='S1&amp;2 Lists'!$CV$4,K81/'S1&amp;2 Lists'!$CQ$6,0)),3)</f>
        <v>0</v>
      </c>
      <c r="Q81" s="10" t="s">
        <v>12</v>
      </c>
    </row>
    <row r="82" spans="1:17" s="651" customFormat="1">
      <c r="A82" s="455"/>
      <c r="B82" s="455"/>
      <c r="C82" s="652"/>
      <c r="D82" s="455"/>
      <c r="E82" s="653"/>
      <c r="F82" s="455"/>
      <c r="G82" s="647"/>
      <c r="H82" s="455"/>
      <c r="I82" s="653"/>
      <c r="J82" s="455"/>
      <c r="K82" s="455"/>
      <c r="L82" s="455"/>
      <c r="M82" s="1404" t="str">
        <f>+IFERROR(VLOOKUP(G82,'S1&amp;2 Lists'!$C$4:$G$200,3,FALSE),"-")</f>
        <v>-</v>
      </c>
      <c r="N82" s="1404" t="str">
        <f t="shared" si="1"/>
        <v>-</v>
      </c>
      <c r="P82" s="1405">
        <f>ROUND(IF(L82='S1&amp;2 Lists'!$CV$3,K82,IF(L82='S1&amp;2 Lists'!$CV$4,K82/'S1&amp;2 Lists'!$CQ$6,0)),3)</f>
        <v>0</v>
      </c>
      <c r="Q82" s="10" t="s">
        <v>12</v>
      </c>
    </row>
    <row r="83" spans="1:17" s="651" customFormat="1">
      <c r="A83" s="455"/>
      <c r="B83" s="455"/>
      <c r="C83" s="652"/>
      <c r="D83" s="455"/>
      <c r="E83" s="653"/>
      <c r="F83" s="455"/>
      <c r="G83" s="647"/>
      <c r="H83" s="455"/>
      <c r="I83" s="653"/>
      <c r="J83" s="455"/>
      <c r="K83" s="455"/>
      <c r="L83" s="455"/>
      <c r="M83" s="1404" t="str">
        <f>+IFERROR(VLOOKUP(G83,'S1&amp;2 Lists'!$C$4:$G$200,3,FALSE),"-")</f>
        <v>-</v>
      </c>
      <c r="N83" s="1404" t="str">
        <f t="shared" si="1"/>
        <v>-</v>
      </c>
      <c r="P83" s="1405">
        <f>ROUND(IF(L83='S1&amp;2 Lists'!$CV$3,K83,IF(L83='S1&amp;2 Lists'!$CV$4,K83/'S1&amp;2 Lists'!$CQ$6,0)),3)</f>
        <v>0</v>
      </c>
      <c r="Q83" s="10" t="s">
        <v>12</v>
      </c>
    </row>
    <row r="84" spans="1:17" s="651" customFormat="1">
      <c r="A84" s="455"/>
      <c r="B84" s="455"/>
      <c r="C84" s="652"/>
      <c r="D84" s="455"/>
      <c r="E84" s="653"/>
      <c r="F84" s="455"/>
      <c r="G84" s="647"/>
      <c r="H84" s="455"/>
      <c r="I84" s="653"/>
      <c r="J84" s="455"/>
      <c r="K84" s="455"/>
      <c r="L84" s="455"/>
      <c r="M84" s="1404" t="str">
        <f>+IFERROR(VLOOKUP(G84,'S1&amp;2 Lists'!$C$4:$G$200,3,FALSE),"-")</f>
        <v>-</v>
      </c>
      <c r="N84" s="1404" t="str">
        <f t="shared" si="1"/>
        <v>-</v>
      </c>
      <c r="P84" s="1405">
        <f>ROUND(IF(L84='S1&amp;2 Lists'!$CV$3,K84,IF(L84='S1&amp;2 Lists'!$CV$4,K84/'S1&amp;2 Lists'!$CQ$6,0)),3)</f>
        <v>0</v>
      </c>
      <c r="Q84" s="10" t="s">
        <v>12</v>
      </c>
    </row>
    <row r="85" spans="1:17" s="651" customFormat="1">
      <c r="A85" s="455"/>
      <c r="B85" s="455"/>
      <c r="C85" s="652"/>
      <c r="D85" s="455"/>
      <c r="E85" s="653"/>
      <c r="F85" s="455"/>
      <c r="G85" s="647"/>
      <c r="H85" s="455"/>
      <c r="I85" s="653"/>
      <c r="J85" s="455"/>
      <c r="K85" s="455"/>
      <c r="L85" s="455"/>
      <c r="M85" s="1404" t="str">
        <f>+IFERROR(VLOOKUP(G85,'S1&amp;2 Lists'!$C$4:$G$200,3,FALSE),"-")</f>
        <v>-</v>
      </c>
      <c r="N85" s="1404" t="str">
        <f t="shared" si="1"/>
        <v>-</v>
      </c>
      <c r="P85" s="1405">
        <f>ROUND(IF(L85='S1&amp;2 Lists'!$CV$3,K85,IF(L85='S1&amp;2 Lists'!$CV$4,K85/'S1&amp;2 Lists'!$CQ$6,0)),3)</f>
        <v>0</v>
      </c>
      <c r="Q85" s="10" t="s">
        <v>12</v>
      </c>
    </row>
    <row r="86" spans="1:17" s="651" customFormat="1">
      <c r="A86" s="455"/>
      <c r="B86" s="455"/>
      <c r="C86" s="652"/>
      <c r="D86" s="455"/>
      <c r="E86" s="653"/>
      <c r="F86" s="455"/>
      <c r="G86" s="647"/>
      <c r="H86" s="455"/>
      <c r="I86" s="653"/>
      <c r="J86" s="455"/>
      <c r="K86" s="455"/>
      <c r="L86" s="455"/>
      <c r="M86" s="1404" t="str">
        <f>+IFERROR(VLOOKUP(G86,'S1&amp;2 Lists'!$C$4:$G$200,3,FALSE),"-")</f>
        <v>-</v>
      </c>
      <c r="N86" s="1404" t="str">
        <f t="shared" si="1"/>
        <v>-</v>
      </c>
      <c r="P86" s="1405">
        <f>ROUND(IF(L86='S1&amp;2 Lists'!$CV$3,K86,IF(L86='S1&amp;2 Lists'!$CV$4,K86/'S1&amp;2 Lists'!$CQ$6,0)),3)</f>
        <v>0</v>
      </c>
      <c r="Q86" s="10" t="s">
        <v>12</v>
      </c>
    </row>
    <row r="87" spans="1:17" s="651" customFormat="1">
      <c r="A87" s="455"/>
      <c r="B87" s="455"/>
      <c r="C87" s="652"/>
      <c r="D87" s="455"/>
      <c r="E87" s="653"/>
      <c r="F87" s="455"/>
      <c r="G87" s="647"/>
      <c r="H87" s="455"/>
      <c r="I87" s="653"/>
      <c r="J87" s="455"/>
      <c r="K87" s="455"/>
      <c r="L87" s="455"/>
      <c r="M87" s="1404" t="str">
        <f>+IFERROR(VLOOKUP(G87,'S1&amp;2 Lists'!$C$4:$G$200,3,FALSE),"-")</f>
        <v>-</v>
      </c>
      <c r="N87" s="1404" t="str">
        <f t="shared" si="1"/>
        <v>-</v>
      </c>
      <c r="P87" s="1405">
        <f>ROUND(IF(L87='S1&amp;2 Lists'!$CV$3,K87,IF(L87='S1&amp;2 Lists'!$CV$4,K87/'S1&amp;2 Lists'!$CQ$6,0)),3)</f>
        <v>0</v>
      </c>
      <c r="Q87" s="10" t="s">
        <v>12</v>
      </c>
    </row>
    <row r="88" spans="1:17" s="651" customFormat="1">
      <c r="A88" s="455"/>
      <c r="B88" s="455"/>
      <c r="C88" s="652"/>
      <c r="D88" s="455"/>
      <c r="E88" s="653"/>
      <c r="F88" s="455"/>
      <c r="G88" s="647"/>
      <c r="H88" s="455"/>
      <c r="I88" s="653"/>
      <c r="J88" s="455"/>
      <c r="K88" s="455"/>
      <c r="L88" s="455"/>
      <c r="M88" s="1404" t="str">
        <f>+IFERROR(VLOOKUP(G88,'S1&amp;2 Lists'!$C$4:$G$200,3,FALSE),"-")</f>
        <v>-</v>
      </c>
      <c r="N88" s="1404" t="str">
        <f t="shared" si="1"/>
        <v>-</v>
      </c>
      <c r="P88" s="1405">
        <f>ROUND(IF(L88='S1&amp;2 Lists'!$CV$3,K88,IF(L88='S1&amp;2 Lists'!$CV$4,K88/'S1&amp;2 Lists'!$CQ$6,0)),3)</f>
        <v>0</v>
      </c>
      <c r="Q88" s="10" t="s">
        <v>12</v>
      </c>
    </row>
    <row r="89" spans="1:17" s="651" customFormat="1">
      <c r="A89" s="455"/>
      <c r="B89" s="455"/>
      <c r="C89" s="652"/>
      <c r="D89" s="455"/>
      <c r="E89" s="653"/>
      <c r="F89" s="455"/>
      <c r="G89" s="647"/>
      <c r="H89" s="455"/>
      <c r="I89" s="653"/>
      <c r="J89" s="455"/>
      <c r="K89" s="455"/>
      <c r="L89" s="455"/>
      <c r="M89" s="1404" t="str">
        <f>+IFERROR(VLOOKUP(G89,'S1&amp;2 Lists'!$C$4:$G$200,3,FALSE),"-")</f>
        <v>-</v>
      </c>
      <c r="N89" s="1404" t="str">
        <f t="shared" si="1"/>
        <v>-</v>
      </c>
      <c r="P89" s="1405">
        <f>ROUND(IF(L89='S1&amp;2 Lists'!$CV$3,K89,IF(L89='S1&amp;2 Lists'!$CV$4,K89/'S1&amp;2 Lists'!$CQ$6,0)),3)</f>
        <v>0</v>
      </c>
      <c r="Q89" s="10" t="s">
        <v>12</v>
      </c>
    </row>
    <row r="90" spans="1:17" s="651" customFormat="1">
      <c r="A90" s="455"/>
      <c r="B90" s="455"/>
      <c r="C90" s="652"/>
      <c r="D90" s="455"/>
      <c r="E90" s="653"/>
      <c r="F90" s="455"/>
      <c r="G90" s="647"/>
      <c r="H90" s="455"/>
      <c r="I90" s="653"/>
      <c r="J90" s="455"/>
      <c r="K90" s="455"/>
      <c r="L90" s="455"/>
      <c r="M90" s="1404" t="str">
        <f>+IFERROR(VLOOKUP(G90,'S1&amp;2 Lists'!$C$4:$G$200,3,FALSE),"-")</f>
        <v>-</v>
      </c>
      <c r="N90" s="1404" t="str">
        <f t="shared" si="1"/>
        <v>-</v>
      </c>
      <c r="P90" s="1405">
        <f>ROUND(IF(L90='S1&amp;2 Lists'!$CV$3,K90,IF(L90='S1&amp;2 Lists'!$CV$4,K90/'S1&amp;2 Lists'!$CQ$6,0)),3)</f>
        <v>0</v>
      </c>
      <c r="Q90" s="10" t="s">
        <v>12</v>
      </c>
    </row>
    <row r="91" spans="1:17" s="651" customFormat="1">
      <c r="A91" s="455"/>
      <c r="B91" s="455"/>
      <c r="C91" s="652"/>
      <c r="D91" s="455"/>
      <c r="E91" s="653"/>
      <c r="F91" s="455"/>
      <c r="G91" s="647"/>
      <c r="H91" s="455"/>
      <c r="I91" s="653"/>
      <c r="J91" s="455"/>
      <c r="K91" s="455"/>
      <c r="L91" s="455"/>
      <c r="M91" s="1404" t="str">
        <f>+IFERROR(VLOOKUP(G91,'S1&amp;2 Lists'!$C$4:$G$200,3,FALSE),"-")</f>
        <v>-</v>
      </c>
      <c r="N91" s="1404" t="str">
        <f t="shared" si="1"/>
        <v>-</v>
      </c>
      <c r="P91" s="1405">
        <f>ROUND(IF(L91='S1&amp;2 Lists'!$CV$3,K91,IF(L91='S1&amp;2 Lists'!$CV$4,K91/'S1&amp;2 Lists'!$CQ$6,0)),3)</f>
        <v>0</v>
      </c>
      <c r="Q91" s="10" t="s">
        <v>12</v>
      </c>
    </row>
    <row r="92" spans="1:17" s="651" customFormat="1">
      <c r="A92" s="455"/>
      <c r="B92" s="455"/>
      <c r="C92" s="652"/>
      <c r="D92" s="455"/>
      <c r="E92" s="653"/>
      <c r="F92" s="455"/>
      <c r="G92" s="647"/>
      <c r="H92" s="455"/>
      <c r="I92" s="653"/>
      <c r="J92" s="455"/>
      <c r="K92" s="455"/>
      <c r="L92" s="455"/>
      <c r="M92" s="1404" t="str">
        <f>+IFERROR(VLOOKUP(G92,'S1&amp;2 Lists'!$C$4:$G$200,3,FALSE),"-")</f>
        <v>-</v>
      </c>
      <c r="N92" s="1404" t="str">
        <f t="shared" si="1"/>
        <v>-</v>
      </c>
      <c r="P92" s="1405">
        <f>ROUND(IF(L92='S1&amp;2 Lists'!$CV$3,K92,IF(L92='S1&amp;2 Lists'!$CV$4,K92/'S1&amp;2 Lists'!$CQ$6,0)),3)</f>
        <v>0</v>
      </c>
      <c r="Q92" s="10" t="s">
        <v>12</v>
      </c>
    </row>
    <row r="93" spans="1:17" s="651" customFormat="1">
      <c r="A93" s="455"/>
      <c r="B93" s="455"/>
      <c r="C93" s="652"/>
      <c r="D93" s="455"/>
      <c r="E93" s="653"/>
      <c r="F93" s="455"/>
      <c r="G93" s="647"/>
      <c r="H93" s="455"/>
      <c r="I93" s="653"/>
      <c r="J93" s="455"/>
      <c r="K93" s="455"/>
      <c r="L93" s="455"/>
      <c r="M93" s="1404" t="str">
        <f>+IFERROR(VLOOKUP(G93,'S1&amp;2 Lists'!$C$4:$G$200,3,FALSE),"-")</f>
        <v>-</v>
      </c>
      <c r="N93" s="1404" t="str">
        <f t="shared" si="1"/>
        <v>-</v>
      </c>
      <c r="P93" s="1405">
        <f>ROUND(IF(L93='S1&amp;2 Lists'!$CV$3,K93,IF(L93='S1&amp;2 Lists'!$CV$4,K93/'S1&amp;2 Lists'!$CQ$6,0)),3)</f>
        <v>0</v>
      </c>
      <c r="Q93" s="10" t="s">
        <v>12</v>
      </c>
    </row>
    <row r="94" spans="1:17" s="651" customFormat="1">
      <c r="A94" s="455"/>
      <c r="B94" s="455"/>
      <c r="C94" s="652"/>
      <c r="D94" s="455"/>
      <c r="E94" s="653"/>
      <c r="F94" s="455"/>
      <c r="G94" s="647"/>
      <c r="H94" s="455"/>
      <c r="I94" s="653"/>
      <c r="J94" s="455"/>
      <c r="K94" s="455"/>
      <c r="L94" s="455"/>
      <c r="M94" s="1404" t="str">
        <f>+IFERROR(VLOOKUP(G94,'S1&amp;2 Lists'!$C$4:$G$200,3,FALSE),"-")</f>
        <v>-</v>
      </c>
      <c r="N94" s="1404" t="str">
        <f t="shared" si="1"/>
        <v>-</v>
      </c>
      <c r="P94" s="1405">
        <f>ROUND(IF(L94='S1&amp;2 Lists'!$CV$3,K94,IF(L94='S1&amp;2 Lists'!$CV$4,K94/'S1&amp;2 Lists'!$CQ$6,0)),3)</f>
        <v>0</v>
      </c>
      <c r="Q94" s="10" t="s">
        <v>12</v>
      </c>
    </row>
    <row r="95" spans="1:17" s="651" customFormat="1">
      <c r="A95" s="455"/>
      <c r="B95" s="455"/>
      <c r="C95" s="652"/>
      <c r="D95" s="455"/>
      <c r="E95" s="653"/>
      <c r="F95" s="455"/>
      <c r="G95" s="647"/>
      <c r="H95" s="455"/>
      <c r="I95" s="653"/>
      <c r="J95" s="455"/>
      <c r="K95" s="455"/>
      <c r="L95" s="455"/>
      <c r="M95" s="1404" t="str">
        <f>+IFERROR(VLOOKUP(G95,'S1&amp;2 Lists'!$C$4:$G$200,3,FALSE),"-")</f>
        <v>-</v>
      </c>
      <c r="N95" s="1404" t="str">
        <f t="shared" si="1"/>
        <v>-</v>
      </c>
      <c r="P95" s="1405">
        <f>ROUND(IF(L95='S1&amp;2 Lists'!$CV$3,K95,IF(L95='S1&amp;2 Lists'!$CV$4,K95/'S1&amp;2 Lists'!$CQ$6,0)),3)</f>
        <v>0</v>
      </c>
      <c r="Q95" s="10" t="s">
        <v>12</v>
      </c>
    </row>
    <row r="96" spans="1:17" s="651" customFormat="1">
      <c r="A96" s="455"/>
      <c r="B96" s="455"/>
      <c r="C96" s="652"/>
      <c r="D96" s="455"/>
      <c r="E96" s="653"/>
      <c r="F96" s="455"/>
      <c r="G96" s="647"/>
      <c r="H96" s="455"/>
      <c r="I96" s="653"/>
      <c r="J96" s="455"/>
      <c r="K96" s="455"/>
      <c r="L96" s="455"/>
      <c r="M96" s="1404" t="str">
        <f>+IFERROR(VLOOKUP(G96,'S1&amp;2 Lists'!$C$4:$G$200,3,FALSE),"-")</f>
        <v>-</v>
      </c>
      <c r="N96" s="1404" t="str">
        <f t="shared" si="1"/>
        <v>-</v>
      </c>
      <c r="P96" s="1405">
        <f>ROUND(IF(L96='S1&amp;2 Lists'!$CV$3,K96,IF(L96='S1&amp;2 Lists'!$CV$4,K96/'S1&amp;2 Lists'!$CQ$6,0)),3)</f>
        <v>0</v>
      </c>
      <c r="Q96" s="10" t="s">
        <v>12</v>
      </c>
    </row>
    <row r="97" spans="1:17" s="651" customFormat="1">
      <c r="A97" s="455"/>
      <c r="B97" s="455"/>
      <c r="C97" s="652"/>
      <c r="D97" s="455"/>
      <c r="E97" s="653"/>
      <c r="F97" s="455"/>
      <c r="G97" s="647"/>
      <c r="H97" s="455"/>
      <c r="I97" s="653"/>
      <c r="J97" s="455"/>
      <c r="K97" s="455"/>
      <c r="L97" s="455"/>
      <c r="M97" s="1404" t="str">
        <f>+IFERROR(VLOOKUP(G97,'S1&amp;2 Lists'!$C$4:$G$200,3,FALSE),"-")</f>
        <v>-</v>
      </c>
      <c r="N97" s="1404" t="str">
        <f t="shared" si="1"/>
        <v>-</v>
      </c>
      <c r="P97" s="1405">
        <f>ROUND(IF(L97='S1&amp;2 Lists'!$CV$3,K97,IF(L97='S1&amp;2 Lists'!$CV$4,K97/'S1&amp;2 Lists'!$CQ$6,0)),3)</f>
        <v>0</v>
      </c>
      <c r="Q97" s="10" t="s">
        <v>12</v>
      </c>
    </row>
    <row r="98" spans="1:17" s="651" customFormat="1">
      <c r="A98" s="455"/>
      <c r="B98" s="455"/>
      <c r="C98" s="652"/>
      <c r="D98" s="455"/>
      <c r="E98" s="653"/>
      <c r="F98" s="455"/>
      <c r="G98" s="647"/>
      <c r="H98" s="455"/>
      <c r="I98" s="653"/>
      <c r="J98" s="455"/>
      <c r="K98" s="455"/>
      <c r="L98" s="455"/>
      <c r="M98" s="1404" t="str">
        <f>+IFERROR(VLOOKUP(G98,'S1&amp;2 Lists'!$C$4:$G$200,3,FALSE),"-")</f>
        <v>-</v>
      </c>
      <c r="N98" s="1404" t="str">
        <f t="shared" si="1"/>
        <v>-</v>
      </c>
      <c r="P98" s="1405">
        <f>ROUND(IF(L98='S1&amp;2 Lists'!$CV$3,K98,IF(L98='S1&amp;2 Lists'!$CV$4,K98/'S1&amp;2 Lists'!$CQ$6,0)),3)</f>
        <v>0</v>
      </c>
      <c r="Q98" s="10" t="s">
        <v>12</v>
      </c>
    </row>
    <row r="99" spans="1:17" s="651" customFormat="1">
      <c r="A99" s="455"/>
      <c r="B99" s="455"/>
      <c r="C99" s="652"/>
      <c r="D99" s="455"/>
      <c r="E99" s="653"/>
      <c r="F99" s="455"/>
      <c r="G99" s="647"/>
      <c r="H99" s="455"/>
      <c r="I99" s="653"/>
      <c r="J99" s="455"/>
      <c r="K99" s="455"/>
      <c r="L99" s="455"/>
      <c r="M99" s="1404" t="str">
        <f>+IFERROR(VLOOKUP(G99,'S1&amp;2 Lists'!$C$4:$G$200,3,FALSE),"-")</f>
        <v>-</v>
      </c>
      <c r="N99" s="1404" t="str">
        <f t="shared" si="1"/>
        <v>-</v>
      </c>
      <c r="P99" s="1405">
        <f>ROUND(IF(L99='S1&amp;2 Lists'!$CV$3,K99,IF(L99='S1&amp;2 Lists'!$CV$4,K99/'S1&amp;2 Lists'!$CQ$6,0)),3)</f>
        <v>0</v>
      </c>
      <c r="Q99" s="10" t="s">
        <v>12</v>
      </c>
    </row>
    <row r="100" spans="1:17" s="651" customFormat="1">
      <c r="A100" s="455"/>
      <c r="B100" s="455"/>
      <c r="C100" s="652"/>
      <c r="D100" s="455"/>
      <c r="E100" s="653"/>
      <c r="F100" s="455"/>
      <c r="G100" s="647"/>
      <c r="H100" s="455"/>
      <c r="I100" s="653"/>
      <c r="J100" s="455"/>
      <c r="K100" s="455"/>
      <c r="L100" s="455"/>
      <c r="M100" s="1404" t="str">
        <f>+IFERROR(VLOOKUP(G100,'S1&amp;2 Lists'!$C$4:$G$200,3,FALSE),"-")</f>
        <v>-</v>
      </c>
      <c r="N100" s="1404" t="str">
        <f t="shared" si="1"/>
        <v>-</v>
      </c>
      <c r="P100" s="1405">
        <f>ROUND(IF(L100='S1&amp;2 Lists'!$CV$3,K100,IF(L100='S1&amp;2 Lists'!$CV$4,K100/'S1&amp;2 Lists'!$CQ$6,0)),3)</f>
        <v>0</v>
      </c>
      <c r="Q100" s="10" t="s">
        <v>12</v>
      </c>
    </row>
    <row r="101" spans="1:17" s="651" customFormat="1">
      <c r="A101" s="455"/>
      <c r="B101" s="455"/>
      <c r="C101" s="652"/>
      <c r="D101" s="455"/>
      <c r="E101" s="653"/>
      <c r="F101" s="455"/>
      <c r="G101" s="647"/>
      <c r="H101" s="455"/>
      <c r="I101" s="653"/>
      <c r="J101" s="455"/>
      <c r="K101" s="455"/>
      <c r="L101" s="455"/>
      <c r="M101" s="1404" t="str">
        <f>+IFERROR(VLOOKUP(G101,'S1&amp;2 Lists'!$C$4:$G$200,3,FALSE),"-")</f>
        <v>-</v>
      </c>
      <c r="N101" s="1404" t="str">
        <f t="shared" si="1"/>
        <v>-</v>
      </c>
      <c r="P101" s="1405">
        <f>ROUND(IF(L101='S1&amp;2 Lists'!$CV$3,K101,IF(L101='S1&amp;2 Lists'!$CV$4,K101/'S1&amp;2 Lists'!$CQ$6,0)),3)</f>
        <v>0</v>
      </c>
      <c r="Q101" s="10" t="s">
        <v>12</v>
      </c>
    </row>
    <row r="102" spans="1:17" s="651" customFormat="1">
      <c r="A102" s="455"/>
      <c r="B102" s="455"/>
      <c r="C102" s="652"/>
      <c r="D102" s="455"/>
      <c r="E102" s="653"/>
      <c r="F102" s="455"/>
      <c r="G102" s="647"/>
      <c r="H102" s="455"/>
      <c r="I102" s="653"/>
      <c r="J102" s="455"/>
      <c r="K102" s="455"/>
      <c r="L102" s="455"/>
      <c r="M102" s="1404" t="str">
        <f>+IFERROR(VLOOKUP(G102,'S1&amp;2 Lists'!$C$4:$G$200,3,FALSE),"-")</f>
        <v>-</v>
      </c>
      <c r="N102" s="1404" t="str">
        <f t="shared" si="1"/>
        <v>-</v>
      </c>
      <c r="P102" s="1405">
        <f>ROUND(IF(L102='S1&amp;2 Lists'!$CV$3,K102,IF(L102='S1&amp;2 Lists'!$CV$4,K102/'S1&amp;2 Lists'!$CQ$6,0)),3)</f>
        <v>0</v>
      </c>
      <c r="Q102" s="10" t="s">
        <v>12</v>
      </c>
    </row>
    <row r="103" spans="1:17" s="651" customFormat="1">
      <c r="A103" s="455"/>
      <c r="B103" s="455"/>
      <c r="C103" s="652"/>
      <c r="D103" s="455"/>
      <c r="E103" s="653"/>
      <c r="F103" s="455"/>
      <c r="G103" s="647"/>
      <c r="H103" s="455"/>
      <c r="I103" s="653"/>
      <c r="J103" s="455"/>
      <c r="K103" s="455"/>
      <c r="L103" s="455"/>
      <c r="M103" s="1404" t="str">
        <f>+IFERROR(VLOOKUP(G103,'S1&amp;2 Lists'!$C$4:$G$200,3,FALSE),"-")</f>
        <v>-</v>
      </c>
      <c r="N103" s="1404" t="str">
        <f t="shared" si="1"/>
        <v>-</v>
      </c>
      <c r="P103" s="1405">
        <f>ROUND(IF(L103='S1&amp;2 Lists'!$CV$3,K103,IF(L103='S1&amp;2 Lists'!$CV$4,K103/'S1&amp;2 Lists'!$CQ$6,0)),3)</f>
        <v>0</v>
      </c>
      <c r="Q103" s="10" t="s">
        <v>12</v>
      </c>
    </row>
    <row r="104" spans="1:17" s="651" customFormat="1">
      <c r="A104" s="455"/>
      <c r="B104" s="455"/>
      <c r="C104" s="652"/>
      <c r="D104" s="455"/>
      <c r="E104" s="653"/>
      <c r="F104" s="455"/>
      <c r="G104" s="647"/>
      <c r="H104" s="455"/>
      <c r="I104" s="653"/>
      <c r="J104" s="455"/>
      <c r="K104" s="455"/>
      <c r="L104" s="455"/>
      <c r="M104" s="1404" t="str">
        <f>+IFERROR(VLOOKUP(G104,'S1&amp;2 Lists'!$C$4:$G$200,3,FALSE),"-")</f>
        <v>-</v>
      </c>
      <c r="N104" s="1404" t="str">
        <f t="shared" si="1"/>
        <v>-</v>
      </c>
      <c r="P104" s="1405">
        <f>ROUND(IF(L104='S1&amp;2 Lists'!$CV$3,K104,IF(L104='S1&amp;2 Lists'!$CV$4,K104/'S1&amp;2 Lists'!$CQ$6,0)),3)</f>
        <v>0</v>
      </c>
      <c r="Q104" s="10" t="s">
        <v>12</v>
      </c>
    </row>
    <row r="105" spans="1:17" s="651" customFormat="1">
      <c r="A105" s="455"/>
      <c r="B105" s="455"/>
      <c r="C105" s="652"/>
      <c r="D105" s="455"/>
      <c r="E105" s="653"/>
      <c r="F105" s="455"/>
      <c r="G105" s="647"/>
      <c r="H105" s="455"/>
      <c r="I105" s="653"/>
      <c r="J105" s="455"/>
      <c r="K105" s="455"/>
      <c r="L105" s="455"/>
      <c r="M105" s="1404" t="str">
        <f>+IFERROR(VLOOKUP(G105,'S1&amp;2 Lists'!$C$4:$G$200,3,FALSE),"-")</f>
        <v>-</v>
      </c>
      <c r="N105" s="1404" t="str">
        <f t="shared" si="1"/>
        <v>-</v>
      </c>
      <c r="P105" s="1405">
        <f>ROUND(IF(L105='S1&amp;2 Lists'!$CV$3,K105,IF(L105='S1&amp;2 Lists'!$CV$4,K105/'S1&amp;2 Lists'!$CQ$6,0)),3)</f>
        <v>0</v>
      </c>
      <c r="Q105" s="10" t="s">
        <v>12</v>
      </c>
    </row>
    <row r="106" spans="1:17" s="651" customFormat="1">
      <c r="A106" s="455"/>
      <c r="B106" s="455"/>
      <c r="C106" s="652"/>
      <c r="D106" s="455"/>
      <c r="E106" s="653"/>
      <c r="F106" s="455"/>
      <c r="G106" s="647"/>
      <c r="H106" s="455"/>
      <c r="I106" s="653"/>
      <c r="J106" s="455"/>
      <c r="K106" s="455"/>
      <c r="L106" s="455"/>
      <c r="M106" s="1404" t="str">
        <f>+IFERROR(VLOOKUP(G106,'S1&amp;2 Lists'!$C$4:$G$200,3,FALSE),"-")</f>
        <v>-</v>
      </c>
      <c r="N106" s="1404" t="str">
        <f t="shared" si="1"/>
        <v>-</v>
      </c>
      <c r="P106" s="1405">
        <f>ROUND(IF(L106='S1&amp;2 Lists'!$CV$3,K106,IF(L106='S1&amp;2 Lists'!$CV$4,K106/'S1&amp;2 Lists'!$CQ$6,0)),3)</f>
        <v>0</v>
      </c>
      <c r="Q106" s="10" t="s">
        <v>12</v>
      </c>
    </row>
    <row r="107" spans="1:17" s="651" customFormat="1">
      <c r="A107" s="455"/>
      <c r="B107" s="455"/>
      <c r="C107" s="652"/>
      <c r="D107" s="455"/>
      <c r="E107" s="653"/>
      <c r="F107" s="455"/>
      <c r="G107" s="647"/>
      <c r="H107" s="455"/>
      <c r="I107" s="653"/>
      <c r="J107" s="455"/>
      <c r="K107" s="455"/>
      <c r="L107" s="455"/>
      <c r="M107" s="1404" t="str">
        <f>+IFERROR(VLOOKUP(G107,'S1&amp;2 Lists'!$C$4:$G$200,3,FALSE),"-")</f>
        <v>-</v>
      </c>
      <c r="N107" s="1404" t="str">
        <f t="shared" si="1"/>
        <v>-</v>
      </c>
      <c r="P107" s="1405">
        <f>ROUND(IF(L107='S1&amp;2 Lists'!$CV$3,K107,IF(L107='S1&amp;2 Lists'!$CV$4,K107/'S1&amp;2 Lists'!$CQ$6,0)),3)</f>
        <v>0</v>
      </c>
      <c r="Q107" s="10" t="s">
        <v>12</v>
      </c>
    </row>
    <row r="108" spans="1:17" s="651" customFormat="1">
      <c r="A108" s="455"/>
      <c r="B108" s="455"/>
      <c r="C108" s="652"/>
      <c r="D108" s="455"/>
      <c r="E108" s="653"/>
      <c r="F108" s="455"/>
      <c r="G108" s="647"/>
      <c r="H108" s="455"/>
      <c r="I108" s="653"/>
      <c r="J108" s="455"/>
      <c r="K108" s="455"/>
      <c r="L108" s="455"/>
      <c r="M108" s="1404" t="str">
        <f>+IFERROR(VLOOKUP(G108,'S1&amp;2 Lists'!$C$4:$G$200,3,FALSE),"-")</f>
        <v>-</v>
      </c>
      <c r="N108" s="1404" t="str">
        <f t="shared" si="1"/>
        <v>-</v>
      </c>
      <c r="P108" s="1405">
        <f>ROUND(IF(L108='S1&amp;2 Lists'!$CV$3,K108,IF(L108='S1&amp;2 Lists'!$CV$4,K108/'S1&amp;2 Lists'!$CQ$6,0)),3)</f>
        <v>0</v>
      </c>
      <c r="Q108" s="10" t="s">
        <v>12</v>
      </c>
    </row>
    <row r="109" spans="1:17" s="651" customFormat="1">
      <c r="A109" s="455"/>
      <c r="B109" s="455"/>
      <c r="C109" s="652"/>
      <c r="D109" s="455"/>
      <c r="E109" s="653"/>
      <c r="F109" s="455"/>
      <c r="G109" s="647"/>
      <c r="H109" s="455"/>
      <c r="I109" s="653"/>
      <c r="J109" s="455"/>
      <c r="K109" s="455"/>
      <c r="L109" s="455"/>
      <c r="M109" s="1404" t="str">
        <f>+IFERROR(VLOOKUP(G109,'S1&amp;2 Lists'!$C$4:$G$200,3,FALSE),"-")</f>
        <v>-</v>
      </c>
      <c r="N109" s="1404" t="str">
        <f t="shared" si="1"/>
        <v>-</v>
      </c>
      <c r="P109" s="1405">
        <f>ROUND(IF(L109='S1&amp;2 Lists'!$CV$3,K109,IF(L109='S1&amp;2 Lists'!$CV$4,K109/'S1&amp;2 Lists'!$CQ$6,0)),3)</f>
        <v>0</v>
      </c>
      <c r="Q109" s="10" t="s">
        <v>12</v>
      </c>
    </row>
    <row r="110" spans="1:17" s="651" customFormat="1">
      <c r="A110" s="455"/>
      <c r="B110" s="455"/>
      <c r="C110" s="652"/>
      <c r="D110" s="455"/>
      <c r="E110" s="653"/>
      <c r="F110" s="455"/>
      <c r="G110" s="647"/>
      <c r="H110" s="455"/>
      <c r="I110" s="653"/>
      <c r="J110" s="455"/>
      <c r="K110" s="455"/>
      <c r="L110" s="455"/>
      <c r="M110" s="1404" t="str">
        <f>+IFERROR(VLOOKUP(G110,'S1&amp;2 Lists'!$C$4:$G$200,3,FALSE),"-")</f>
        <v>-</v>
      </c>
      <c r="N110" s="1404" t="str">
        <f t="shared" si="1"/>
        <v>-</v>
      </c>
      <c r="P110" s="1405">
        <f>ROUND(IF(L110='S1&amp;2 Lists'!$CV$3,K110,IF(L110='S1&amp;2 Lists'!$CV$4,K110/'S1&amp;2 Lists'!$CQ$6,0)),3)</f>
        <v>0</v>
      </c>
      <c r="Q110" s="10" t="s">
        <v>12</v>
      </c>
    </row>
    <row r="111" spans="1:17" s="651" customFormat="1">
      <c r="A111" s="455"/>
      <c r="B111" s="455"/>
      <c r="C111" s="652"/>
      <c r="D111" s="455"/>
      <c r="E111" s="653"/>
      <c r="F111" s="455"/>
      <c r="G111" s="647"/>
      <c r="H111" s="455"/>
      <c r="I111" s="653"/>
      <c r="J111" s="455"/>
      <c r="K111" s="455"/>
      <c r="L111" s="455"/>
      <c r="M111" s="1404" t="str">
        <f>+IFERROR(VLOOKUP(G111,'S1&amp;2 Lists'!$C$4:$G$200,3,FALSE),"-")</f>
        <v>-</v>
      </c>
      <c r="N111" s="1404" t="str">
        <f t="shared" si="1"/>
        <v>-</v>
      </c>
      <c r="P111" s="1405">
        <f>ROUND(IF(L111='S1&amp;2 Lists'!$CV$3,K111,IF(L111='S1&amp;2 Lists'!$CV$4,K111/'S1&amp;2 Lists'!$CQ$6,0)),3)</f>
        <v>0</v>
      </c>
      <c r="Q111" s="10" t="s">
        <v>12</v>
      </c>
    </row>
    <row r="112" spans="1:17" s="651" customFormat="1">
      <c r="A112" s="455"/>
      <c r="B112" s="455"/>
      <c r="C112" s="652"/>
      <c r="D112" s="455"/>
      <c r="E112" s="653"/>
      <c r="F112" s="455"/>
      <c r="G112" s="647"/>
      <c r="H112" s="455"/>
      <c r="I112" s="653"/>
      <c r="J112" s="455"/>
      <c r="K112" s="455"/>
      <c r="L112" s="455"/>
      <c r="M112" s="1404" t="str">
        <f>+IFERROR(VLOOKUP(G112,'S1&amp;2 Lists'!$C$4:$G$200,3,FALSE),"-")</f>
        <v>-</v>
      </c>
      <c r="N112" s="1404" t="str">
        <f t="shared" si="1"/>
        <v>-</v>
      </c>
      <c r="P112" s="1405">
        <f>ROUND(IF(L112='S1&amp;2 Lists'!$CV$3,K112,IF(L112='S1&amp;2 Lists'!$CV$4,K112/'S1&amp;2 Lists'!$CQ$6,0)),3)</f>
        <v>0</v>
      </c>
      <c r="Q112" s="10" t="s">
        <v>12</v>
      </c>
    </row>
    <row r="113" spans="1:17" s="651" customFormat="1">
      <c r="A113" s="455"/>
      <c r="B113" s="455"/>
      <c r="C113" s="652"/>
      <c r="D113" s="455"/>
      <c r="E113" s="653"/>
      <c r="F113" s="455"/>
      <c r="G113" s="647"/>
      <c r="H113" s="455"/>
      <c r="I113" s="653"/>
      <c r="J113" s="455"/>
      <c r="K113" s="455"/>
      <c r="L113" s="455"/>
      <c r="M113" s="1404" t="str">
        <f>+IFERROR(VLOOKUP(G113,'S1&amp;2 Lists'!$C$4:$G$200,3,FALSE),"-")</f>
        <v>-</v>
      </c>
      <c r="N113" s="1404" t="str">
        <f t="shared" si="1"/>
        <v>-</v>
      </c>
      <c r="P113" s="1405">
        <f>ROUND(IF(L113='S1&amp;2 Lists'!$CV$3,K113,IF(L113='S1&amp;2 Lists'!$CV$4,K113/'S1&amp;2 Lists'!$CQ$6,0)),3)</f>
        <v>0</v>
      </c>
      <c r="Q113" s="10" t="s">
        <v>12</v>
      </c>
    </row>
    <row r="114" spans="1:17" s="651" customFormat="1">
      <c r="A114" s="455"/>
      <c r="B114" s="455"/>
      <c r="C114" s="652"/>
      <c r="D114" s="455"/>
      <c r="E114" s="653"/>
      <c r="F114" s="455"/>
      <c r="G114" s="647"/>
      <c r="H114" s="455"/>
      <c r="I114" s="653"/>
      <c r="J114" s="455"/>
      <c r="K114" s="455"/>
      <c r="L114" s="455"/>
      <c r="M114" s="1404" t="str">
        <f>+IFERROR(VLOOKUP(G114,'S1&amp;2 Lists'!$C$4:$G$200,3,FALSE),"-")</f>
        <v>-</v>
      </c>
      <c r="N114" s="1404" t="str">
        <f t="shared" si="1"/>
        <v>-</v>
      </c>
      <c r="P114" s="1405">
        <f>ROUND(IF(L114='S1&amp;2 Lists'!$CV$3,K114,IF(L114='S1&amp;2 Lists'!$CV$4,K114/'S1&amp;2 Lists'!$CQ$6,0)),3)</f>
        <v>0</v>
      </c>
      <c r="Q114" s="10" t="s">
        <v>12</v>
      </c>
    </row>
    <row r="115" spans="1:17" s="651" customFormat="1">
      <c r="A115" s="455"/>
      <c r="B115" s="455"/>
      <c r="C115" s="652"/>
      <c r="D115" s="455"/>
      <c r="E115" s="653"/>
      <c r="F115" s="455"/>
      <c r="G115" s="647"/>
      <c r="H115" s="455"/>
      <c r="I115" s="653"/>
      <c r="J115" s="455"/>
      <c r="K115" s="455"/>
      <c r="L115" s="455"/>
      <c r="M115" s="1404" t="str">
        <f>+IFERROR(VLOOKUP(G115,'S1&amp;2 Lists'!$C$4:$G$200,3,FALSE),"-")</f>
        <v>-</v>
      </c>
      <c r="N115" s="1404" t="str">
        <f t="shared" si="1"/>
        <v>-</v>
      </c>
      <c r="P115" s="1405">
        <f>ROUND(IF(L115='S1&amp;2 Lists'!$CV$3,K115,IF(L115='S1&amp;2 Lists'!$CV$4,K115/'S1&amp;2 Lists'!$CQ$6,0)),3)</f>
        <v>0</v>
      </c>
      <c r="Q115" s="10" t="s">
        <v>12</v>
      </c>
    </row>
    <row r="116" spans="1:17" s="651" customFormat="1">
      <c r="A116" s="455"/>
      <c r="B116" s="455"/>
      <c r="C116" s="652"/>
      <c r="D116" s="455"/>
      <c r="E116" s="653"/>
      <c r="F116" s="455"/>
      <c r="G116" s="647"/>
      <c r="H116" s="455"/>
      <c r="I116" s="653"/>
      <c r="J116" s="455"/>
      <c r="K116" s="455"/>
      <c r="L116" s="455"/>
      <c r="M116" s="1404" t="str">
        <f>+IFERROR(VLOOKUP(G116,'S1&amp;2 Lists'!$C$4:$G$200,3,FALSE),"-")</f>
        <v>-</v>
      </c>
      <c r="N116" s="1404" t="str">
        <f t="shared" si="1"/>
        <v>-</v>
      </c>
      <c r="P116" s="1405">
        <f>ROUND(IF(L116='S1&amp;2 Lists'!$CV$3,K116,IF(L116='S1&amp;2 Lists'!$CV$4,K116/'S1&amp;2 Lists'!$CQ$6,0)),3)</f>
        <v>0</v>
      </c>
      <c r="Q116" s="10" t="s">
        <v>12</v>
      </c>
    </row>
    <row r="117" spans="1:17" s="651" customFormat="1">
      <c r="A117" s="455"/>
      <c r="B117" s="455"/>
      <c r="C117" s="652"/>
      <c r="D117" s="455"/>
      <c r="E117" s="653"/>
      <c r="F117" s="455"/>
      <c r="G117" s="647"/>
      <c r="H117" s="455"/>
      <c r="I117" s="653"/>
      <c r="J117" s="455"/>
      <c r="K117" s="455"/>
      <c r="L117" s="455"/>
      <c r="M117" s="1404" t="str">
        <f>+IFERROR(VLOOKUP(G117,'S1&amp;2 Lists'!$C$4:$G$200,3,FALSE),"-")</f>
        <v>-</v>
      </c>
      <c r="N117" s="1404" t="str">
        <f t="shared" si="1"/>
        <v>-</v>
      </c>
      <c r="P117" s="1405">
        <f>ROUND(IF(L117='S1&amp;2 Lists'!$CV$3,K117,IF(L117='S1&amp;2 Lists'!$CV$4,K117/'S1&amp;2 Lists'!$CQ$6,0)),3)</f>
        <v>0</v>
      </c>
      <c r="Q117" s="10" t="s">
        <v>12</v>
      </c>
    </row>
    <row r="118" spans="1:17" s="651" customFormat="1">
      <c r="A118" s="455"/>
      <c r="B118" s="455"/>
      <c r="C118" s="652"/>
      <c r="D118" s="455"/>
      <c r="E118" s="653"/>
      <c r="F118" s="455"/>
      <c r="G118" s="647"/>
      <c r="H118" s="455"/>
      <c r="I118" s="653"/>
      <c r="J118" s="455"/>
      <c r="K118" s="455"/>
      <c r="L118" s="455"/>
      <c r="M118" s="1404" t="str">
        <f>+IFERROR(VLOOKUP(G118,'S1&amp;2 Lists'!$C$4:$G$200,3,FALSE),"-")</f>
        <v>-</v>
      </c>
      <c r="N118" s="1404" t="str">
        <f t="shared" si="1"/>
        <v>-</v>
      </c>
      <c r="P118" s="1405">
        <f>ROUND(IF(L118='S1&amp;2 Lists'!$CV$3,K118,IF(L118='S1&amp;2 Lists'!$CV$4,K118/'S1&amp;2 Lists'!$CQ$6,0)),3)</f>
        <v>0</v>
      </c>
      <c r="Q118" s="10" t="s">
        <v>12</v>
      </c>
    </row>
    <row r="119" spans="1:17" s="651" customFormat="1">
      <c r="A119" s="455"/>
      <c r="B119" s="455"/>
      <c r="C119" s="652"/>
      <c r="D119" s="455"/>
      <c r="E119" s="653"/>
      <c r="F119" s="455"/>
      <c r="G119" s="647"/>
      <c r="H119" s="455"/>
      <c r="I119" s="653"/>
      <c r="J119" s="455"/>
      <c r="K119" s="455"/>
      <c r="L119" s="455"/>
      <c r="M119" s="1404" t="str">
        <f>+IFERROR(VLOOKUP(G119,'S1&amp;2 Lists'!$C$4:$G$200,3,FALSE),"-")</f>
        <v>-</v>
      </c>
      <c r="N119" s="1404" t="str">
        <f t="shared" si="1"/>
        <v>-</v>
      </c>
      <c r="P119" s="1405">
        <f>ROUND(IF(L119='S1&amp;2 Lists'!$CV$3,K119,IF(L119='S1&amp;2 Lists'!$CV$4,K119/'S1&amp;2 Lists'!$CQ$6,0)),3)</f>
        <v>0</v>
      </c>
      <c r="Q119" s="10" t="s">
        <v>12</v>
      </c>
    </row>
    <row r="120" spans="1:17" s="651" customFormat="1">
      <c r="A120" s="455"/>
      <c r="B120" s="455"/>
      <c r="C120" s="652"/>
      <c r="D120" s="455"/>
      <c r="E120" s="653"/>
      <c r="F120" s="455"/>
      <c r="G120" s="647"/>
      <c r="H120" s="455"/>
      <c r="I120" s="653"/>
      <c r="J120" s="455"/>
      <c r="K120" s="455"/>
      <c r="L120" s="455"/>
      <c r="M120" s="1404" t="str">
        <f>+IFERROR(VLOOKUP(G120,'S1&amp;2 Lists'!$C$4:$G$200,3,FALSE),"-")</f>
        <v>-</v>
      </c>
      <c r="N120" s="1404" t="str">
        <f t="shared" si="1"/>
        <v>-</v>
      </c>
      <c r="P120" s="1405">
        <f>ROUND(IF(L120='S1&amp;2 Lists'!$CV$3,K120,IF(L120='S1&amp;2 Lists'!$CV$4,K120/'S1&amp;2 Lists'!$CQ$6,0)),3)</f>
        <v>0</v>
      </c>
      <c r="Q120" s="10" t="s">
        <v>12</v>
      </c>
    </row>
    <row r="121" spans="1:17" s="651" customFormat="1">
      <c r="A121" s="455"/>
      <c r="B121" s="455"/>
      <c r="C121" s="652"/>
      <c r="D121" s="455"/>
      <c r="E121" s="653"/>
      <c r="F121" s="455"/>
      <c r="G121" s="647"/>
      <c r="H121" s="455"/>
      <c r="I121" s="653"/>
      <c r="J121" s="455"/>
      <c r="K121" s="455"/>
      <c r="L121" s="455"/>
      <c r="M121" s="1404" t="str">
        <f>+IFERROR(VLOOKUP(G121,'S1&amp;2 Lists'!$C$4:$G$200,3,FALSE),"-")</f>
        <v>-</v>
      </c>
      <c r="N121" s="1404" t="str">
        <f t="shared" si="1"/>
        <v>-</v>
      </c>
      <c r="P121" s="1405">
        <f>ROUND(IF(L121='S1&amp;2 Lists'!$CV$3,K121,IF(L121='S1&amp;2 Lists'!$CV$4,K121/'S1&amp;2 Lists'!$CQ$6,0)),3)</f>
        <v>0</v>
      </c>
      <c r="Q121" s="10" t="s">
        <v>12</v>
      </c>
    </row>
    <row r="122" spans="1:17" s="651" customFormat="1">
      <c r="A122" s="455"/>
      <c r="B122" s="455"/>
      <c r="C122" s="652"/>
      <c r="D122" s="455"/>
      <c r="E122" s="653"/>
      <c r="F122" s="455"/>
      <c r="G122" s="647"/>
      <c r="H122" s="455"/>
      <c r="I122" s="653"/>
      <c r="J122" s="455"/>
      <c r="K122" s="455"/>
      <c r="L122" s="455"/>
      <c r="M122" s="1404" t="str">
        <f>+IFERROR(VLOOKUP(G122,'S1&amp;2 Lists'!$C$4:$G$200,3,FALSE),"-")</f>
        <v>-</v>
      </c>
      <c r="N122" s="1404" t="str">
        <f t="shared" si="1"/>
        <v>-</v>
      </c>
      <c r="P122" s="1405">
        <f>ROUND(IF(L122='S1&amp;2 Lists'!$CV$3,K122,IF(L122='S1&amp;2 Lists'!$CV$4,K122/'S1&amp;2 Lists'!$CQ$6,0)),3)</f>
        <v>0</v>
      </c>
      <c r="Q122" s="10" t="s">
        <v>12</v>
      </c>
    </row>
    <row r="123" spans="1:17" s="651" customFormat="1">
      <c r="A123" s="455"/>
      <c r="B123" s="455"/>
      <c r="C123" s="652"/>
      <c r="D123" s="455"/>
      <c r="E123" s="653"/>
      <c r="F123" s="455"/>
      <c r="G123" s="647"/>
      <c r="H123" s="455"/>
      <c r="I123" s="653"/>
      <c r="J123" s="455"/>
      <c r="K123" s="455"/>
      <c r="L123" s="455"/>
      <c r="M123" s="1404" t="str">
        <f>+IFERROR(VLOOKUP(G123,'S1&amp;2 Lists'!$C$4:$G$200,3,FALSE),"-")</f>
        <v>-</v>
      </c>
      <c r="N123" s="1404" t="str">
        <f t="shared" si="1"/>
        <v>-</v>
      </c>
      <c r="P123" s="1405">
        <f>ROUND(IF(L123='S1&amp;2 Lists'!$CV$3,K123,IF(L123='S1&amp;2 Lists'!$CV$4,K123/'S1&amp;2 Lists'!$CQ$6,0)),3)</f>
        <v>0</v>
      </c>
      <c r="Q123" s="10" t="s">
        <v>12</v>
      </c>
    </row>
    <row r="124" spans="1:17" s="651" customFormat="1">
      <c r="A124" s="455"/>
      <c r="B124" s="455"/>
      <c r="C124" s="652"/>
      <c r="D124" s="455"/>
      <c r="E124" s="653"/>
      <c r="F124" s="455"/>
      <c r="G124" s="647"/>
      <c r="H124" s="455"/>
      <c r="I124" s="653"/>
      <c r="J124" s="455"/>
      <c r="K124" s="455"/>
      <c r="L124" s="455"/>
      <c r="M124" s="1404" t="str">
        <f>+IFERROR(VLOOKUP(G124,'S1&amp;2 Lists'!$C$4:$G$200,3,FALSE),"-")</f>
        <v>-</v>
      </c>
      <c r="N124" s="1404" t="str">
        <f t="shared" si="1"/>
        <v>-</v>
      </c>
      <c r="P124" s="1405">
        <f>ROUND(IF(L124='S1&amp;2 Lists'!$CV$3,K124,IF(L124='S1&amp;2 Lists'!$CV$4,K124/'S1&amp;2 Lists'!$CQ$6,0)),3)</f>
        <v>0</v>
      </c>
      <c r="Q124" s="10" t="s">
        <v>12</v>
      </c>
    </row>
    <row r="125" spans="1:17" s="651" customFormat="1">
      <c r="A125" s="455"/>
      <c r="B125" s="455"/>
      <c r="C125" s="652"/>
      <c r="D125" s="455"/>
      <c r="E125" s="653"/>
      <c r="F125" s="455"/>
      <c r="G125" s="647"/>
      <c r="H125" s="455"/>
      <c r="I125" s="653"/>
      <c r="J125" s="455"/>
      <c r="K125" s="455"/>
      <c r="L125" s="455"/>
      <c r="M125" s="1404" t="str">
        <f>+IFERROR(VLOOKUP(G125,'S1&amp;2 Lists'!$C$4:$G$200,3,FALSE),"-")</f>
        <v>-</v>
      </c>
      <c r="N125" s="1404" t="str">
        <f t="shared" si="1"/>
        <v>-</v>
      </c>
      <c r="P125" s="1405">
        <f>ROUND(IF(L125='S1&amp;2 Lists'!$CV$3,K125,IF(L125='S1&amp;2 Lists'!$CV$4,K125/'S1&amp;2 Lists'!$CQ$6,0)),3)</f>
        <v>0</v>
      </c>
      <c r="Q125" s="10" t="s">
        <v>12</v>
      </c>
    </row>
    <row r="126" spans="1:17" s="651" customFormat="1">
      <c r="A126" s="455"/>
      <c r="B126" s="455"/>
      <c r="C126" s="652"/>
      <c r="D126" s="455"/>
      <c r="E126" s="653"/>
      <c r="F126" s="455"/>
      <c r="G126" s="647"/>
      <c r="H126" s="455"/>
      <c r="I126" s="653"/>
      <c r="J126" s="455"/>
      <c r="K126" s="455"/>
      <c r="L126" s="455"/>
      <c r="M126" s="1404" t="str">
        <f>+IFERROR(VLOOKUP(G126,'S1&amp;2 Lists'!$C$4:$G$200,3,FALSE),"-")</f>
        <v>-</v>
      </c>
      <c r="N126" s="1404" t="str">
        <f t="shared" si="1"/>
        <v>-</v>
      </c>
      <c r="P126" s="1405">
        <f>ROUND(IF(L126='S1&amp;2 Lists'!$CV$3,K126,IF(L126='S1&amp;2 Lists'!$CV$4,K126/'S1&amp;2 Lists'!$CQ$6,0)),3)</f>
        <v>0</v>
      </c>
      <c r="Q126" s="10" t="s">
        <v>12</v>
      </c>
    </row>
    <row r="127" spans="1:17" s="651" customFormat="1">
      <c r="A127" s="455"/>
      <c r="B127" s="455"/>
      <c r="C127" s="652"/>
      <c r="D127" s="455"/>
      <c r="E127" s="653"/>
      <c r="F127" s="455"/>
      <c r="G127" s="647"/>
      <c r="H127" s="455"/>
      <c r="I127" s="653"/>
      <c r="J127" s="455"/>
      <c r="K127" s="455"/>
      <c r="L127" s="455"/>
      <c r="M127" s="1404" t="str">
        <f>+IFERROR(VLOOKUP(G127,'S1&amp;2 Lists'!$C$4:$G$200,3,FALSE),"-")</f>
        <v>-</v>
      </c>
      <c r="N127" s="1404" t="str">
        <f t="shared" si="1"/>
        <v>-</v>
      </c>
      <c r="P127" s="1405">
        <f>ROUND(IF(L127='S1&amp;2 Lists'!$CV$3,K127,IF(L127='S1&amp;2 Lists'!$CV$4,K127/'S1&amp;2 Lists'!$CQ$6,0)),3)</f>
        <v>0</v>
      </c>
      <c r="Q127" s="10" t="s">
        <v>12</v>
      </c>
    </row>
    <row r="128" spans="1:17" s="651" customFormat="1">
      <c r="A128" s="455"/>
      <c r="B128" s="455"/>
      <c r="C128" s="652"/>
      <c r="D128" s="455"/>
      <c r="E128" s="653"/>
      <c r="F128" s="455"/>
      <c r="G128" s="647"/>
      <c r="H128" s="455"/>
      <c r="I128" s="653"/>
      <c r="J128" s="455"/>
      <c r="K128" s="455"/>
      <c r="L128" s="455"/>
      <c r="M128" s="1404" t="str">
        <f>+IFERROR(VLOOKUP(G128,'S1&amp;2 Lists'!$C$4:$G$200,3,FALSE),"-")</f>
        <v>-</v>
      </c>
      <c r="N128" s="1404" t="str">
        <f t="shared" si="1"/>
        <v>-</v>
      </c>
      <c r="P128" s="1405">
        <f>ROUND(IF(L128='S1&amp;2 Lists'!$CV$3,K128,IF(L128='S1&amp;2 Lists'!$CV$4,K128/'S1&amp;2 Lists'!$CQ$6,0)),3)</f>
        <v>0</v>
      </c>
      <c r="Q128" s="10" t="s">
        <v>12</v>
      </c>
    </row>
    <row r="129" spans="1:17" s="651" customFormat="1">
      <c r="A129" s="455"/>
      <c r="B129" s="455"/>
      <c r="C129" s="652"/>
      <c r="D129" s="455"/>
      <c r="E129" s="653"/>
      <c r="F129" s="455"/>
      <c r="G129" s="647"/>
      <c r="H129" s="455"/>
      <c r="I129" s="653"/>
      <c r="J129" s="455"/>
      <c r="K129" s="455"/>
      <c r="L129" s="455"/>
      <c r="M129" s="1404" t="str">
        <f>+IFERROR(VLOOKUP(G129,'S1&amp;2 Lists'!$C$4:$G$200,3,FALSE),"-")</f>
        <v>-</v>
      </c>
      <c r="N129" s="1404" t="str">
        <f t="shared" si="1"/>
        <v>-</v>
      </c>
      <c r="P129" s="1405">
        <f>ROUND(IF(L129='S1&amp;2 Lists'!$CV$3,K129,IF(L129='S1&amp;2 Lists'!$CV$4,K129/'S1&amp;2 Lists'!$CQ$6,0)),3)</f>
        <v>0</v>
      </c>
      <c r="Q129" s="10" t="s">
        <v>12</v>
      </c>
    </row>
    <row r="130" spans="1:17" s="651" customFormat="1">
      <c r="A130" s="455"/>
      <c r="B130" s="455"/>
      <c r="C130" s="652"/>
      <c r="D130" s="455"/>
      <c r="E130" s="653"/>
      <c r="F130" s="455"/>
      <c r="G130" s="647"/>
      <c r="H130" s="455"/>
      <c r="I130" s="653"/>
      <c r="J130" s="455"/>
      <c r="K130" s="455"/>
      <c r="L130" s="455"/>
      <c r="M130" s="1404" t="str">
        <f>+IFERROR(VLOOKUP(G130,'S1&amp;2 Lists'!$C$4:$G$200,3,FALSE),"-")</f>
        <v>-</v>
      </c>
      <c r="N130" s="1404" t="str">
        <f t="shared" si="1"/>
        <v>-</v>
      </c>
      <c r="P130" s="1405">
        <f>ROUND(IF(L130='S1&amp;2 Lists'!$CV$3,K130,IF(L130='S1&amp;2 Lists'!$CV$4,K130/'S1&amp;2 Lists'!$CQ$6,0)),3)</f>
        <v>0</v>
      </c>
      <c r="Q130" s="10" t="s">
        <v>12</v>
      </c>
    </row>
    <row r="131" spans="1:17" s="651" customFormat="1">
      <c r="A131" s="455"/>
      <c r="B131" s="455"/>
      <c r="C131" s="652"/>
      <c r="D131" s="455"/>
      <c r="E131" s="653"/>
      <c r="F131" s="455"/>
      <c r="G131" s="647"/>
      <c r="H131" s="455"/>
      <c r="I131" s="653"/>
      <c r="J131" s="455"/>
      <c r="K131" s="455"/>
      <c r="L131" s="455"/>
      <c r="M131" s="1404" t="str">
        <f>+IFERROR(VLOOKUP(G131,'S1&amp;2 Lists'!$C$4:$G$200,3,FALSE),"-")</f>
        <v>-</v>
      </c>
      <c r="N131" s="1404" t="str">
        <f t="shared" si="1"/>
        <v>-</v>
      </c>
      <c r="P131" s="1405">
        <f>ROUND(IF(L131='S1&amp;2 Lists'!$CV$3,K131,IF(L131='S1&amp;2 Lists'!$CV$4,K131/'S1&amp;2 Lists'!$CQ$6,0)),3)</f>
        <v>0</v>
      </c>
      <c r="Q131" s="10" t="s">
        <v>12</v>
      </c>
    </row>
    <row r="132" spans="1:17" s="651" customFormat="1">
      <c r="A132" s="455"/>
      <c r="B132" s="455"/>
      <c r="C132" s="652"/>
      <c r="D132" s="455"/>
      <c r="E132" s="653"/>
      <c r="F132" s="455"/>
      <c r="G132" s="647"/>
      <c r="H132" s="455"/>
      <c r="I132" s="653"/>
      <c r="J132" s="455"/>
      <c r="K132" s="455"/>
      <c r="L132" s="455"/>
      <c r="M132" s="1404" t="str">
        <f>+IFERROR(VLOOKUP(G132,'S1&amp;2 Lists'!$C$4:$G$200,3,FALSE),"-")</f>
        <v>-</v>
      </c>
      <c r="N132" s="1404" t="str">
        <f t="shared" si="1"/>
        <v>-</v>
      </c>
      <c r="P132" s="1405">
        <f>ROUND(IF(L132='S1&amp;2 Lists'!$CV$3,K132,IF(L132='S1&amp;2 Lists'!$CV$4,K132/'S1&amp;2 Lists'!$CQ$6,0)),3)</f>
        <v>0</v>
      </c>
      <c r="Q132" s="10" t="s">
        <v>12</v>
      </c>
    </row>
    <row r="133" spans="1:17" s="651" customFormat="1">
      <c r="A133" s="455"/>
      <c r="B133" s="455"/>
      <c r="C133" s="652"/>
      <c r="D133" s="455"/>
      <c r="E133" s="653"/>
      <c r="F133" s="455"/>
      <c r="G133" s="647"/>
      <c r="H133" s="455"/>
      <c r="I133" s="653"/>
      <c r="J133" s="455"/>
      <c r="K133" s="455"/>
      <c r="L133" s="455"/>
      <c r="M133" s="1404" t="str">
        <f>+IFERROR(VLOOKUP(G133,'S1&amp;2 Lists'!$C$4:$G$200,3,FALSE),"-")</f>
        <v>-</v>
      </c>
      <c r="N133" s="1404" t="str">
        <f t="shared" si="1"/>
        <v>-</v>
      </c>
      <c r="P133" s="1405">
        <f>ROUND(IF(L133='S1&amp;2 Lists'!$CV$3,K133,IF(L133='S1&amp;2 Lists'!$CV$4,K133/'S1&amp;2 Lists'!$CQ$6,0)),3)</f>
        <v>0</v>
      </c>
      <c r="Q133" s="10" t="s">
        <v>12</v>
      </c>
    </row>
    <row r="134" spans="1:17" s="651" customFormat="1">
      <c r="A134" s="455"/>
      <c r="B134" s="455"/>
      <c r="C134" s="652"/>
      <c r="D134" s="455"/>
      <c r="E134" s="653"/>
      <c r="F134" s="455"/>
      <c r="G134" s="647"/>
      <c r="H134" s="455"/>
      <c r="I134" s="653"/>
      <c r="J134" s="455"/>
      <c r="K134" s="455"/>
      <c r="L134" s="455"/>
      <c r="M134" s="1404" t="str">
        <f>+IFERROR(VLOOKUP(G134,'S1&amp;2 Lists'!$C$4:$G$200,3,FALSE),"-")</f>
        <v>-</v>
      </c>
      <c r="N134" s="1404" t="str">
        <f t="shared" si="1"/>
        <v>-</v>
      </c>
      <c r="P134" s="1405">
        <f>ROUND(IF(L134='S1&amp;2 Lists'!$CV$3,K134,IF(L134='S1&amp;2 Lists'!$CV$4,K134/'S1&amp;2 Lists'!$CQ$6,0)),3)</f>
        <v>0</v>
      </c>
      <c r="Q134" s="10" t="s">
        <v>12</v>
      </c>
    </row>
    <row r="135" spans="1:17" s="651" customFormat="1">
      <c r="A135" s="455"/>
      <c r="B135" s="455"/>
      <c r="C135" s="652"/>
      <c r="D135" s="455"/>
      <c r="E135" s="653"/>
      <c r="F135" s="455"/>
      <c r="G135" s="647"/>
      <c r="H135" s="455"/>
      <c r="I135" s="653"/>
      <c r="J135" s="455"/>
      <c r="K135" s="455"/>
      <c r="L135" s="455"/>
      <c r="M135" s="1404" t="str">
        <f>+IFERROR(VLOOKUP(G135,'S1&amp;2 Lists'!$C$4:$G$200,3,FALSE),"-")</f>
        <v>-</v>
      </c>
      <c r="N135" s="1404" t="str">
        <f t="shared" si="1"/>
        <v>-</v>
      </c>
      <c r="P135" s="1405">
        <f>ROUND(IF(L135='S1&amp;2 Lists'!$CV$3,K135,IF(L135='S1&amp;2 Lists'!$CV$4,K135/'S1&amp;2 Lists'!$CQ$6,0)),3)</f>
        <v>0</v>
      </c>
      <c r="Q135" s="10" t="s">
        <v>12</v>
      </c>
    </row>
    <row r="136" spans="1:17" s="651" customFormat="1">
      <c r="A136" s="455"/>
      <c r="B136" s="455"/>
      <c r="C136" s="652"/>
      <c r="D136" s="455"/>
      <c r="E136" s="653"/>
      <c r="F136" s="455"/>
      <c r="G136" s="647"/>
      <c r="H136" s="455"/>
      <c r="I136" s="653"/>
      <c r="J136" s="455"/>
      <c r="K136" s="455"/>
      <c r="L136" s="455"/>
      <c r="M136" s="1404" t="str">
        <f>+IFERROR(VLOOKUP(G136,'S1&amp;2 Lists'!$C$4:$G$200,3,FALSE),"-")</f>
        <v>-</v>
      </c>
      <c r="N136" s="1404" t="str">
        <f t="shared" si="1"/>
        <v>-</v>
      </c>
      <c r="P136" s="1405">
        <f>ROUND(IF(L136='S1&amp;2 Lists'!$CV$3,K136,IF(L136='S1&amp;2 Lists'!$CV$4,K136/'S1&amp;2 Lists'!$CQ$6,0)),3)</f>
        <v>0</v>
      </c>
      <c r="Q136" s="10" t="s">
        <v>12</v>
      </c>
    </row>
    <row r="137" spans="1:17" s="651" customFormat="1">
      <c r="A137" s="455"/>
      <c r="B137" s="455"/>
      <c r="C137" s="652"/>
      <c r="D137" s="455"/>
      <c r="E137" s="653"/>
      <c r="F137" s="455"/>
      <c r="G137" s="647"/>
      <c r="H137" s="455"/>
      <c r="I137" s="653"/>
      <c r="J137" s="455"/>
      <c r="K137" s="455"/>
      <c r="L137" s="455"/>
      <c r="M137" s="1404" t="str">
        <f>+IFERROR(VLOOKUP(G137,'S1&amp;2 Lists'!$C$4:$G$200,3,FALSE),"-")</f>
        <v>-</v>
      </c>
      <c r="N137" s="1404" t="str">
        <f t="shared" si="1"/>
        <v>-</v>
      </c>
      <c r="P137" s="1405">
        <f>ROUND(IF(L137='S1&amp;2 Lists'!$CV$3,K137,IF(L137='S1&amp;2 Lists'!$CV$4,K137/'S1&amp;2 Lists'!$CQ$6,0)),3)</f>
        <v>0</v>
      </c>
      <c r="Q137" s="10" t="s">
        <v>12</v>
      </c>
    </row>
    <row r="138" spans="1:17" s="651" customFormat="1">
      <c r="A138" s="455"/>
      <c r="B138" s="455"/>
      <c r="C138" s="652"/>
      <c r="D138" s="455"/>
      <c r="E138" s="653"/>
      <c r="F138" s="455"/>
      <c r="G138" s="647"/>
      <c r="H138" s="455"/>
      <c r="I138" s="653"/>
      <c r="J138" s="455"/>
      <c r="K138" s="455"/>
      <c r="L138" s="455"/>
      <c r="M138" s="1404" t="str">
        <f>+IFERROR(VLOOKUP(G138,'S1&amp;2 Lists'!$C$4:$G$200,3,FALSE),"-")</f>
        <v>-</v>
      </c>
      <c r="N138" s="1404" t="str">
        <f t="shared" si="1"/>
        <v>-</v>
      </c>
      <c r="P138" s="1405">
        <f>ROUND(IF(L138='S1&amp;2 Lists'!$CV$3,K138,IF(L138='S1&amp;2 Lists'!$CV$4,K138/'S1&amp;2 Lists'!$CQ$6,0)),3)</f>
        <v>0</v>
      </c>
      <c r="Q138" s="10" t="s">
        <v>12</v>
      </c>
    </row>
    <row r="139" spans="1:17" s="651" customFormat="1">
      <c r="A139" s="455"/>
      <c r="B139" s="455"/>
      <c r="C139" s="652"/>
      <c r="D139" s="455"/>
      <c r="E139" s="653"/>
      <c r="F139" s="455"/>
      <c r="G139" s="647"/>
      <c r="H139" s="455"/>
      <c r="I139" s="653"/>
      <c r="J139" s="455"/>
      <c r="K139" s="455"/>
      <c r="L139" s="455"/>
      <c r="M139" s="1404" t="str">
        <f>+IFERROR(VLOOKUP(G139,'S1&amp;2 Lists'!$C$4:$G$200,3,FALSE),"-")</f>
        <v>-</v>
      </c>
      <c r="N139" s="1404" t="str">
        <f t="shared" ref="N139:N202" si="2">+IFERROR(P139*M139,"-")</f>
        <v>-</v>
      </c>
      <c r="P139" s="1405">
        <f>ROUND(IF(L139='S1&amp;2 Lists'!$CV$3,K139,IF(L139='S1&amp;2 Lists'!$CV$4,K139/'S1&amp;2 Lists'!$CQ$6,0)),3)</f>
        <v>0</v>
      </c>
      <c r="Q139" s="10" t="s">
        <v>12</v>
      </c>
    </row>
    <row r="140" spans="1:17" s="651" customFormat="1">
      <c r="A140" s="455"/>
      <c r="B140" s="455"/>
      <c r="C140" s="652"/>
      <c r="D140" s="455"/>
      <c r="E140" s="653"/>
      <c r="F140" s="455"/>
      <c r="G140" s="647"/>
      <c r="H140" s="455"/>
      <c r="I140" s="653"/>
      <c r="J140" s="455"/>
      <c r="K140" s="455"/>
      <c r="L140" s="455"/>
      <c r="M140" s="1404" t="str">
        <f>+IFERROR(VLOOKUP(G140,'S1&amp;2 Lists'!$C$4:$G$200,3,FALSE),"-")</f>
        <v>-</v>
      </c>
      <c r="N140" s="1404" t="str">
        <f t="shared" si="2"/>
        <v>-</v>
      </c>
      <c r="P140" s="1405">
        <f>ROUND(IF(L140='S1&amp;2 Lists'!$CV$3,K140,IF(L140='S1&amp;2 Lists'!$CV$4,K140/'S1&amp;2 Lists'!$CQ$6,0)),3)</f>
        <v>0</v>
      </c>
      <c r="Q140" s="10" t="s">
        <v>12</v>
      </c>
    </row>
    <row r="141" spans="1:17" s="651" customFormat="1">
      <c r="A141" s="455"/>
      <c r="B141" s="455"/>
      <c r="C141" s="652"/>
      <c r="D141" s="455"/>
      <c r="E141" s="653"/>
      <c r="F141" s="455"/>
      <c r="G141" s="647"/>
      <c r="H141" s="455"/>
      <c r="I141" s="653"/>
      <c r="J141" s="455"/>
      <c r="K141" s="455"/>
      <c r="L141" s="455"/>
      <c r="M141" s="1404" t="str">
        <f>+IFERROR(VLOOKUP(G141,'S1&amp;2 Lists'!$C$4:$G$200,3,FALSE),"-")</f>
        <v>-</v>
      </c>
      <c r="N141" s="1404" t="str">
        <f t="shared" si="2"/>
        <v>-</v>
      </c>
      <c r="P141" s="1405">
        <f>ROUND(IF(L141='S1&amp;2 Lists'!$CV$3,K141,IF(L141='S1&amp;2 Lists'!$CV$4,K141/'S1&amp;2 Lists'!$CQ$6,0)),3)</f>
        <v>0</v>
      </c>
      <c r="Q141" s="10" t="s">
        <v>12</v>
      </c>
    </row>
    <row r="142" spans="1:17" s="651" customFormat="1">
      <c r="A142" s="455"/>
      <c r="B142" s="455"/>
      <c r="C142" s="652"/>
      <c r="D142" s="455"/>
      <c r="E142" s="653"/>
      <c r="F142" s="455"/>
      <c r="G142" s="647"/>
      <c r="H142" s="455"/>
      <c r="I142" s="653"/>
      <c r="J142" s="455"/>
      <c r="K142" s="455"/>
      <c r="L142" s="455"/>
      <c r="M142" s="1404" t="str">
        <f>+IFERROR(VLOOKUP(G142,'S1&amp;2 Lists'!$C$4:$G$200,3,FALSE),"-")</f>
        <v>-</v>
      </c>
      <c r="N142" s="1404" t="str">
        <f t="shared" si="2"/>
        <v>-</v>
      </c>
      <c r="P142" s="1405">
        <f>ROUND(IF(L142='S1&amp;2 Lists'!$CV$3,K142,IF(L142='S1&amp;2 Lists'!$CV$4,K142/'S1&amp;2 Lists'!$CQ$6,0)),3)</f>
        <v>0</v>
      </c>
      <c r="Q142" s="10" t="s">
        <v>12</v>
      </c>
    </row>
    <row r="143" spans="1:17" s="651" customFormat="1">
      <c r="A143" s="455"/>
      <c r="B143" s="455"/>
      <c r="C143" s="652"/>
      <c r="D143" s="455"/>
      <c r="E143" s="653"/>
      <c r="F143" s="455"/>
      <c r="G143" s="647"/>
      <c r="H143" s="455"/>
      <c r="I143" s="653"/>
      <c r="J143" s="455"/>
      <c r="K143" s="455"/>
      <c r="L143" s="455"/>
      <c r="M143" s="1404" t="str">
        <f>+IFERROR(VLOOKUP(G143,'S1&amp;2 Lists'!$C$4:$G$200,3,FALSE),"-")</f>
        <v>-</v>
      </c>
      <c r="N143" s="1404" t="str">
        <f t="shared" si="2"/>
        <v>-</v>
      </c>
      <c r="P143" s="1405">
        <f>ROUND(IF(L143='S1&amp;2 Lists'!$CV$3,K143,IF(L143='S1&amp;2 Lists'!$CV$4,K143/'S1&amp;2 Lists'!$CQ$6,0)),3)</f>
        <v>0</v>
      </c>
      <c r="Q143" s="10" t="s">
        <v>12</v>
      </c>
    </row>
    <row r="144" spans="1:17" s="651" customFormat="1">
      <c r="A144" s="455"/>
      <c r="B144" s="455"/>
      <c r="C144" s="652"/>
      <c r="D144" s="455"/>
      <c r="E144" s="653"/>
      <c r="F144" s="455"/>
      <c r="G144" s="647"/>
      <c r="H144" s="455"/>
      <c r="I144" s="653"/>
      <c r="J144" s="455"/>
      <c r="K144" s="455"/>
      <c r="L144" s="455"/>
      <c r="M144" s="1404" t="str">
        <f>+IFERROR(VLOOKUP(G144,'S1&amp;2 Lists'!$C$4:$G$200,3,FALSE),"-")</f>
        <v>-</v>
      </c>
      <c r="N144" s="1404" t="str">
        <f t="shared" si="2"/>
        <v>-</v>
      </c>
      <c r="P144" s="1405">
        <f>ROUND(IF(L144='S1&amp;2 Lists'!$CV$3,K144,IF(L144='S1&amp;2 Lists'!$CV$4,K144/'S1&amp;2 Lists'!$CQ$6,0)),3)</f>
        <v>0</v>
      </c>
      <c r="Q144" s="10" t="s">
        <v>12</v>
      </c>
    </row>
    <row r="145" spans="1:17" s="651" customFormat="1">
      <c r="A145" s="455"/>
      <c r="B145" s="455"/>
      <c r="C145" s="652"/>
      <c r="D145" s="455"/>
      <c r="E145" s="653"/>
      <c r="F145" s="455"/>
      <c r="G145" s="647"/>
      <c r="H145" s="455"/>
      <c r="I145" s="653"/>
      <c r="J145" s="455"/>
      <c r="K145" s="455"/>
      <c r="L145" s="455"/>
      <c r="M145" s="1404" t="str">
        <f>+IFERROR(VLOOKUP(G145,'S1&amp;2 Lists'!$C$4:$G$200,3,FALSE),"-")</f>
        <v>-</v>
      </c>
      <c r="N145" s="1404" t="str">
        <f t="shared" si="2"/>
        <v>-</v>
      </c>
      <c r="P145" s="1405">
        <f>ROUND(IF(L145='S1&amp;2 Lists'!$CV$3,K145,IF(L145='S1&amp;2 Lists'!$CV$4,K145/'S1&amp;2 Lists'!$CQ$6,0)),3)</f>
        <v>0</v>
      </c>
      <c r="Q145" s="10" t="s">
        <v>12</v>
      </c>
    </row>
    <row r="146" spans="1:17" s="651" customFormat="1">
      <c r="A146" s="455"/>
      <c r="B146" s="455"/>
      <c r="C146" s="652"/>
      <c r="D146" s="455"/>
      <c r="E146" s="653"/>
      <c r="F146" s="455"/>
      <c r="G146" s="647"/>
      <c r="H146" s="455"/>
      <c r="I146" s="653"/>
      <c r="J146" s="455"/>
      <c r="K146" s="455"/>
      <c r="L146" s="455"/>
      <c r="M146" s="1404" t="str">
        <f>+IFERROR(VLOOKUP(G146,'S1&amp;2 Lists'!$C$4:$G$200,3,FALSE),"-")</f>
        <v>-</v>
      </c>
      <c r="N146" s="1404" t="str">
        <f t="shared" si="2"/>
        <v>-</v>
      </c>
      <c r="P146" s="1405">
        <f>ROUND(IF(L146='S1&amp;2 Lists'!$CV$3,K146,IF(L146='S1&amp;2 Lists'!$CV$4,K146/'S1&amp;2 Lists'!$CQ$6,0)),3)</f>
        <v>0</v>
      </c>
      <c r="Q146" s="10" t="s">
        <v>12</v>
      </c>
    </row>
    <row r="147" spans="1:17" s="651" customFormat="1">
      <c r="A147" s="455"/>
      <c r="B147" s="455"/>
      <c r="C147" s="652"/>
      <c r="D147" s="455"/>
      <c r="E147" s="653"/>
      <c r="F147" s="455"/>
      <c r="G147" s="647"/>
      <c r="H147" s="455"/>
      <c r="I147" s="653"/>
      <c r="J147" s="455"/>
      <c r="K147" s="455"/>
      <c r="L147" s="455"/>
      <c r="M147" s="1404" t="str">
        <f>+IFERROR(VLOOKUP(G147,'S1&amp;2 Lists'!$C$4:$G$200,3,FALSE),"-")</f>
        <v>-</v>
      </c>
      <c r="N147" s="1404" t="str">
        <f t="shared" si="2"/>
        <v>-</v>
      </c>
      <c r="P147" s="1405">
        <f>ROUND(IF(L147='S1&amp;2 Lists'!$CV$3,K147,IF(L147='S1&amp;2 Lists'!$CV$4,K147/'S1&amp;2 Lists'!$CQ$6,0)),3)</f>
        <v>0</v>
      </c>
      <c r="Q147" s="10" t="s">
        <v>12</v>
      </c>
    </row>
    <row r="148" spans="1:17" s="651" customFormat="1">
      <c r="A148" s="455"/>
      <c r="B148" s="455"/>
      <c r="C148" s="652"/>
      <c r="D148" s="455"/>
      <c r="E148" s="653"/>
      <c r="F148" s="455"/>
      <c r="G148" s="647"/>
      <c r="H148" s="455"/>
      <c r="I148" s="653"/>
      <c r="J148" s="455"/>
      <c r="K148" s="455"/>
      <c r="L148" s="455"/>
      <c r="M148" s="1404" t="str">
        <f>+IFERROR(VLOOKUP(G148,'S1&amp;2 Lists'!$C$4:$G$200,3,FALSE),"-")</f>
        <v>-</v>
      </c>
      <c r="N148" s="1404" t="str">
        <f t="shared" si="2"/>
        <v>-</v>
      </c>
      <c r="P148" s="1405">
        <f>ROUND(IF(L148='S1&amp;2 Lists'!$CV$3,K148,IF(L148='S1&amp;2 Lists'!$CV$4,K148/'S1&amp;2 Lists'!$CQ$6,0)),3)</f>
        <v>0</v>
      </c>
      <c r="Q148" s="10" t="s">
        <v>12</v>
      </c>
    </row>
    <row r="149" spans="1:17" s="651" customFormat="1">
      <c r="A149" s="455"/>
      <c r="B149" s="455"/>
      <c r="C149" s="652"/>
      <c r="D149" s="455"/>
      <c r="E149" s="653"/>
      <c r="F149" s="455"/>
      <c r="G149" s="647"/>
      <c r="H149" s="455"/>
      <c r="I149" s="653"/>
      <c r="J149" s="455"/>
      <c r="K149" s="455"/>
      <c r="L149" s="455"/>
      <c r="M149" s="1404" t="str">
        <f>+IFERROR(VLOOKUP(G149,'S1&amp;2 Lists'!$C$4:$G$200,3,FALSE),"-")</f>
        <v>-</v>
      </c>
      <c r="N149" s="1404" t="str">
        <f t="shared" si="2"/>
        <v>-</v>
      </c>
      <c r="P149" s="1405">
        <f>ROUND(IF(L149='S1&amp;2 Lists'!$CV$3,K149,IF(L149='S1&amp;2 Lists'!$CV$4,K149/'S1&amp;2 Lists'!$CQ$6,0)),3)</f>
        <v>0</v>
      </c>
      <c r="Q149" s="10" t="s">
        <v>12</v>
      </c>
    </row>
    <row r="150" spans="1:17" s="651" customFormat="1">
      <c r="A150" s="455"/>
      <c r="B150" s="455"/>
      <c r="C150" s="652"/>
      <c r="D150" s="455"/>
      <c r="E150" s="653"/>
      <c r="F150" s="455"/>
      <c r="G150" s="647"/>
      <c r="H150" s="455"/>
      <c r="I150" s="653"/>
      <c r="J150" s="455"/>
      <c r="K150" s="455"/>
      <c r="L150" s="455"/>
      <c r="M150" s="1404" t="str">
        <f>+IFERROR(VLOOKUP(G150,'S1&amp;2 Lists'!$C$4:$G$200,3,FALSE),"-")</f>
        <v>-</v>
      </c>
      <c r="N150" s="1404" t="str">
        <f t="shared" si="2"/>
        <v>-</v>
      </c>
      <c r="P150" s="1405">
        <f>ROUND(IF(L150='S1&amp;2 Lists'!$CV$3,K150,IF(L150='S1&amp;2 Lists'!$CV$4,K150/'S1&amp;2 Lists'!$CQ$6,0)),3)</f>
        <v>0</v>
      </c>
      <c r="Q150" s="10" t="s">
        <v>12</v>
      </c>
    </row>
    <row r="151" spans="1:17" s="651" customFormat="1">
      <c r="A151" s="455"/>
      <c r="B151" s="455"/>
      <c r="C151" s="652"/>
      <c r="D151" s="455"/>
      <c r="E151" s="653"/>
      <c r="F151" s="455"/>
      <c r="G151" s="647"/>
      <c r="H151" s="455"/>
      <c r="I151" s="653"/>
      <c r="J151" s="455"/>
      <c r="K151" s="455"/>
      <c r="L151" s="455"/>
      <c r="M151" s="1404" t="str">
        <f>+IFERROR(VLOOKUP(G151,'S1&amp;2 Lists'!$C$4:$G$200,3,FALSE),"-")</f>
        <v>-</v>
      </c>
      <c r="N151" s="1404" t="str">
        <f t="shared" si="2"/>
        <v>-</v>
      </c>
      <c r="P151" s="1405">
        <f>ROUND(IF(L151='S1&amp;2 Lists'!$CV$3,K151,IF(L151='S1&amp;2 Lists'!$CV$4,K151/'S1&amp;2 Lists'!$CQ$6,0)),3)</f>
        <v>0</v>
      </c>
      <c r="Q151" s="10" t="s">
        <v>12</v>
      </c>
    </row>
    <row r="152" spans="1:17" s="651" customFormat="1">
      <c r="A152" s="455"/>
      <c r="B152" s="455"/>
      <c r="C152" s="652"/>
      <c r="D152" s="455"/>
      <c r="E152" s="653"/>
      <c r="F152" s="455"/>
      <c r="G152" s="647"/>
      <c r="H152" s="455"/>
      <c r="I152" s="653"/>
      <c r="J152" s="455"/>
      <c r="K152" s="455"/>
      <c r="L152" s="455"/>
      <c r="M152" s="1404" t="str">
        <f>+IFERROR(VLOOKUP(G152,'S1&amp;2 Lists'!$C$4:$G$200,3,FALSE),"-")</f>
        <v>-</v>
      </c>
      <c r="N152" s="1404" t="str">
        <f t="shared" si="2"/>
        <v>-</v>
      </c>
      <c r="P152" s="1405">
        <f>ROUND(IF(L152='S1&amp;2 Lists'!$CV$3,K152,IF(L152='S1&amp;2 Lists'!$CV$4,K152/'S1&amp;2 Lists'!$CQ$6,0)),3)</f>
        <v>0</v>
      </c>
      <c r="Q152" s="10" t="s">
        <v>12</v>
      </c>
    </row>
    <row r="153" spans="1:17" s="651" customFormat="1">
      <c r="A153" s="455"/>
      <c r="B153" s="455"/>
      <c r="C153" s="652"/>
      <c r="D153" s="455"/>
      <c r="E153" s="653"/>
      <c r="F153" s="455"/>
      <c r="G153" s="647"/>
      <c r="H153" s="455"/>
      <c r="I153" s="653"/>
      <c r="J153" s="455"/>
      <c r="K153" s="455"/>
      <c r="L153" s="455"/>
      <c r="M153" s="1404" t="str">
        <f>+IFERROR(VLOOKUP(G153,'S1&amp;2 Lists'!$C$4:$G$200,3,FALSE),"-")</f>
        <v>-</v>
      </c>
      <c r="N153" s="1404" t="str">
        <f t="shared" si="2"/>
        <v>-</v>
      </c>
      <c r="P153" s="1405">
        <f>ROUND(IF(L153='S1&amp;2 Lists'!$CV$3,K153,IF(L153='S1&amp;2 Lists'!$CV$4,K153/'S1&amp;2 Lists'!$CQ$6,0)),3)</f>
        <v>0</v>
      </c>
      <c r="Q153" s="10" t="s">
        <v>12</v>
      </c>
    </row>
    <row r="154" spans="1:17" s="651" customFormat="1">
      <c r="A154" s="455"/>
      <c r="B154" s="455"/>
      <c r="C154" s="652"/>
      <c r="D154" s="455"/>
      <c r="E154" s="653"/>
      <c r="F154" s="455"/>
      <c r="G154" s="647"/>
      <c r="H154" s="455"/>
      <c r="I154" s="653"/>
      <c r="J154" s="455"/>
      <c r="K154" s="455"/>
      <c r="L154" s="455"/>
      <c r="M154" s="1404" t="str">
        <f>+IFERROR(VLOOKUP(G154,'S1&amp;2 Lists'!$C$4:$G$200,3,FALSE),"-")</f>
        <v>-</v>
      </c>
      <c r="N154" s="1404" t="str">
        <f t="shared" si="2"/>
        <v>-</v>
      </c>
      <c r="P154" s="1405">
        <f>ROUND(IF(L154='S1&amp;2 Lists'!$CV$3,K154,IF(L154='S1&amp;2 Lists'!$CV$4,K154/'S1&amp;2 Lists'!$CQ$6,0)),3)</f>
        <v>0</v>
      </c>
      <c r="Q154" s="10" t="s">
        <v>12</v>
      </c>
    </row>
    <row r="155" spans="1:17" s="651" customFormat="1">
      <c r="A155" s="455"/>
      <c r="B155" s="455"/>
      <c r="C155" s="652"/>
      <c r="D155" s="455"/>
      <c r="E155" s="653"/>
      <c r="F155" s="455"/>
      <c r="G155" s="647"/>
      <c r="H155" s="455"/>
      <c r="I155" s="653"/>
      <c r="J155" s="455"/>
      <c r="K155" s="455"/>
      <c r="L155" s="455"/>
      <c r="M155" s="1404" t="str">
        <f>+IFERROR(VLOOKUP(G155,'S1&amp;2 Lists'!$C$4:$G$200,3,FALSE),"-")</f>
        <v>-</v>
      </c>
      <c r="N155" s="1404" t="str">
        <f t="shared" si="2"/>
        <v>-</v>
      </c>
      <c r="P155" s="1405">
        <f>ROUND(IF(L155='S1&amp;2 Lists'!$CV$3,K155,IF(L155='S1&amp;2 Lists'!$CV$4,K155/'S1&amp;2 Lists'!$CQ$6,0)),3)</f>
        <v>0</v>
      </c>
      <c r="Q155" s="10" t="s">
        <v>12</v>
      </c>
    </row>
    <row r="156" spans="1:17" s="651" customFormat="1">
      <c r="A156" s="455"/>
      <c r="B156" s="455"/>
      <c r="C156" s="652"/>
      <c r="D156" s="455"/>
      <c r="E156" s="653"/>
      <c r="F156" s="455"/>
      <c r="G156" s="647"/>
      <c r="H156" s="455"/>
      <c r="I156" s="653"/>
      <c r="J156" s="455"/>
      <c r="K156" s="455"/>
      <c r="L156" s="455"/>
      <c r="M156" s="1404" t="str">
        <f>+IFERROR(VLOOKUP(G156,'S1&amp;2 Lists'!$C$4:$G$200,3,FALSE),"-")</f>
        <v>-</v>
      </c>
      <c r="N156" s="1404" t="str">
        <f t="shared" si="2"/>
        <v>-</v>
      </c>
      <c r="P156" s="1405">
        <f>ROUND(IF(L156='S1&amp;2 Lists'!$CV$3,K156,IF(L156='S1&amp;2 Lists'!$CV$4,K156/'S1&amp;2 Lists'!$CQ$6,0)),3)</f>
        <v>0</v>
      </c>
      <c r="Q156" s="10" t="s">
        <v>12</v>
      </c>
    </row>
    <row r="157" spans="1:17" s="651" customFormat="1">
      <c r="A157" s="455"/>
      <c r="B157" s="455"/>
      <c r="C157" s="652"/>
      <c r="D157" s="455"/>
      <c r="E157" s="653"/>
      <c r="F157" s="455"/>
      <c r="G157" s="647"/>
      <c r="H157" s="455"/>
      <c r="I157" s="653"/>
      <c r="J157" s="455"/>
      <c r="K157" s="455"/>
      <c r="L157" s="455"/>
      <c r="M157" s="1404" t="str">
        <f>+IFERROR(VLOOKUP(G157,'S1&amp;2 Lists'!$C$4:$G$200,3,FALSE),"-")</f>
        <v>-</v>
      </c>
      <c r="N157" s="1404" t="str">
        <f t="shared" si="2"/>
        <v>-</v>
      </c>
      <c r="P157" s="1405">
        <f>ROUND(IF(L157='S1&amp;2 Lists'!$CV$3,K157,IF(L157='S1&amp;2 Lists'!$CV$4,K157/'S1&amp;2 Lists'!$CQ$6,0)),3)</f>
        <v>0</v>
      </c>
      <c r="Q157" s="10" t="s">
        <v>12</v>
      </c>
    </row>
    <row r="158" spans="1:17" s="651" customFormat="1">
      <c r="A158" s="455"/>
      <c r="B158" s="455"/>
      <c r="C158" s="652"/>
      <c r="D158" s="455"/>
      <c r="E158" s="653"/>
      <c r="F158" s="455"/>
      <c r="G158" s="647"/>
      <c r="H158" s="455"/>
      <c r="I158" s="653"/>
      <c r="J158" s="455"/>
      <c r="K158" s="455"/>
      <c r="L158" s="455"/>
      <c r="M158" s="1404" t="str">
        <f>+IFERROR(VLOOKUP(G158,'S1&amp;2 Lists'!$C$4:$G$200,3,FALSE),"-")</f>
        <v>-</v>
      </c>
      <c r="N158" s="1404" t="str">
        <f t="shared" si="2"/>
        <v>-</v>
      </c>
      <c r="P158" s="1405">
        <f>ROUND(IF(L158='S1&amp;2 Lists'!$CV$3,K158,IF(L158='S1&amp;2 Lists'!$CV$4,K158/'S1&amp;2 Lists'!$CQ$6,0)),3)</f>
        <v>0</v>
      </c>
      <c r="Q158" s="10" t="s">
        <v>12</v>
      </c>
    </row>
    <row r="159" spans="1:17" s="651" customFormat="1">
      <c r="A159" s="455"/>
      <c r="B159" s="455"/>
      <c r="C159" s="652"/>
      <c r="D159" s="455"/>
      <c r="E159" s="653"/>
      <c r="F159" s="455"/>
      <c r="G159" s="647"/>
      <c r="H159" s="455"/>
      <c r="I159" s="653"/>
      <c r="J159" s="455"/>
      <c r="K159" s="455"/>
      <c r="L159" s="455"/>
      <c r="M159" s="1404" t="str">
        <f>+IFERROR(VLOOKUP(G159,'S1&amp;2 Lists'!$C$4:$G$200,3,FALSE),"-")</f>
        <v>-</v>
      </c>
      <c r="N159" s="1404" t="str">
        <f t="shared" si="2"/>
        <v>-</v>
      </c>
      <c r="P159" s="1405">
        <f>ROUND(IF(L159='S1&amp;2 Lists'!$CV$3,K159,IF(L159='S1&amp;2 Lists'!$CV$4,K159/'S1&amp;2 Lists'!$CQ$6,0)),3)</f>
        <v>0</v>
      </c>
      <c r="Q159" s="10" t="s">
        <v>12</v>
      </c>
    </row>
    <row r="160" spans="1:17" s="651" customFormat="1">
      <c r="A160" s="455"/>
      <c r="B160" s="455"/>
      <c r="C160" s="652"/>
      <c r="D160" s="455"/>
      <c r="E160" s="653"/>
      <c r="F160" s="455"/>
      <c r="G160" s="647"/>
      <c r="H160" s="455"/>
      <c r="I160" s="653"/>
      <c r="J160" s="455"/>
      <c r="K160" s="455"/>
      <c r="L160" s="455"/>
      <c r="M160" s="1404" t="str">
        <f>+IFERROR(VLOOKUP(G160,'S1&amp;2 Lists'!$C$4:$G$200,3,FALSE),"-")</f>
        <v>-</v>
      </c>
      <c r="N160" s="1404" t="str">
        <f t="shared" si="2"/>
        <v>-</v>
      </c>
      <c r="P160" s="1405">
        <f>ROUND(IF(L160='S1&amp;2 Lists'!$CV$3,K160,IF(L160='S1&amp;2 Lists'!$CV$4,K160/'S1&amp;2 Lists'!$CQ$6,0)),3)</f>
        <v>0</v>
      </c>
      <c r="Q160" s="10" t="s">
        <v>12</v>
      </c>
    </row>
    <row r="161" spans="1:17" s="651" customFormat="1">
      <c r="A161" s="455"/>
      <c r="B161" s="455"/>
      <c r="C161" s="652"/>
      <c r="D161" s="455"/>
      <c r="E161" s="653"/>
      <c r="F161" s="455"/>
      <c r="G161" s="647"/>
      <c r="H161" s="455"/>
      <c r="I161" s="653"/>
      <c r="J161" s="455"/>
      <c r="K161" s="455"/>
      <c r="L161" s="455"/>
      <c r="M161" s="1404" t="str">
        <f>+IFERROR(VLOOKUP(G161,'S1&amp;2 Lists'!$C$4:$G$200,3,FALSE),"-")</f>
        <v>-</v>
      </c>
      <c r="N161" s="1404" t="str">
        <f t="shared" si="2"/>
        <v>-</v>
      </c>
      <c r="P161" s="1405">
        <f>ROUND(IF(L161='S1&amp;2 Lists'!$CV$3,K161,IF(L161='S1&amp;2 Lists'!$CV$4,K161/'S1&amp;2 Lists'!$CQ$6,0)),3)</f>
        <v>0</v>
      </c>
      <c r="Q161" s="10" t="s">
        <v>12</v>
      </c>
    </row>
    <row r="162" spans="1:17" s="651" customFormat="1">
      <c r="A162" s="455"/>
      <c r="B162" s="455"/>
      <c r="C162" s="652"/>
      <c r="D162" s="455"/>
      <c r="E162" s="653"/>
      <c r="F162" s="455"/>
      <c r="G162" s="647"/>
      <c r="H162" s="455"/>
      <c r="I162" s="653"/>
      <c r="J162" s="455"/>
      <c r="K162" s="455"/>
      <c r="L162" s="455"/>
      <c r="M162" s="1404" t="str">
        <f>+IFERROR(VLOOKUP(G162,'S1&amp;2 Lists'!$C$4:$G$200,3,FALSE),"-")</f>
        <v>-</v>
      </c>
      <c r="N162" s="1404" t="str">
        <f t="shared" si="2"/>
        <v>-</v>
      </c>
      <c r="P162" s="1405">
        <f>ROUND(IF(L162='S1&amp;2 Lists'!$CV$3,K162,IF(L162='S1&amp;2 Lists'!$CV$4,K162/'S1&amp;2 Lists'!$CQ$6,0)),3)</f>
        <v>0</v>
      </c>
      <c r="Q162" s="10" t="s">
        <v>12</v>
      </c>
    </row>
    <row r="163" spans="1:17" s="651" customFormat="1">
      <c r="A163" s="455"/>
      <c r="B163" s="455"/>
      <c r="C163" s="652"/>
      <c r="D163" s="455"/>
      <c r="E163" s="653"/>
      <c r="F163" s="455"/>
      <c r="G163" s="647"/>
      <c r="H163" s="455"/>
      <c r="I163" s="653"/>
      <c r="J163" s="455"/>
      <c r="K163" s="455"/>
      <c r="L163" s="455"/>
      <c r="M163" s="1404" t="str">
        <f>+IFERROR(VLOOKUP(G163,'S1&amp;2 Lists'!$C$4:$G$200,3,FALSE),"-")</f>
        <v>-</v>
      </c>
      <c r="N163" s="1404" t="str">
        <f t="shared" si="2"/>
        <v>-</v>
      </c>
      <c r="P163" s="1405">
        <f>ROUND(IF(L163='S1&amp;2 Lists'!$CV$3,K163,IF(L163='S1&amp;2 Lists'!$CV$4,K163/'S1&amp;2 Lists'!$CQ$6,0)),3)</f>
        <v>0</v>
      </c>
      <c r="Q163" s="10" t="s">
        <v>12</v>
      </c>
    </row>
    <row r="164" spans="1:17" s="651" customFormat="1">
      <c r="A164" s="455"/>
      <c r="B164" s="455"/>
      <c r="C164" s="652"/>
      <c r="D164" s="455"/>
      <c r="E164" s="653"/>
      <c r="F164" s="455"/>
      <c r="G164" s="647"/>
      <c r="H164" s="455"/>
      <c r="I164" s="653"/>
      <c r="J164" s="455"/>
      <c r="K164" s="455"/>
      <c r="L164" s="455"/>
      <c r="M164" s="1404" t="str">
        <f>+IFERROR(VLOOKUP(G164,'S1&amp;2 Lists'!$C$4:$G$200,3,FALSE),"-")</f>
        <v>-</v>
      </c>
      <c r="N164" s="1404" t="str">
        <f t="shared" si="2"/>
        <v>-</v>
      </c>
      <c r="P164" s="1405">
        <f>ROUND(IF(L164='S1&amp;2 Lists'!$CV$3,K164,IF(L164='S1&amp;2 Lists'!$CV$4,K164/'S1&amp;2 Lists'!$CQ$6,0)),3)</f>
        <v>0</v>
      </c>
      <c r="Q164" s="10" t="s">
        <v>12</v>
      </c>
    </row>
    <row r="165" spans="1:17" s="651" customFormat="1">
      <c r="A165" s="455"/>
      <c r="B165" s="455"/>
      <c r="C165" s="652"/>
      <c r="D165" s="455"/>
      <c r="E165" s="653"/>
      <c r="F165" s="455"/>
      <c r="G165" s="647"/>
      <c r="H165" s="455"/>
      <c r="I165" s="653"/>
      <c r="J165" s="455"/>
      <c r="K165" s="455"/>
      <c r="L165" s="455"/>
      <c r="M165" s="1404" t="str">
        <f>+IFERROR(VLOOKUP(G165,'S1&amp;2 Lists'!$C$4:$G$200,3,FALSE),"-")</f>
        <v>-</v>
      </c>
      <c r="N165" s="1404" t="str">
        <f t="shared" si="2"/>
        <v>-</v>
      </c>
      <c r="P165" s="1405">
        <f>ROUND(IF(L165='S1&amp;2 Lists'!$CV$3,K165,IF(L165='S1&amp;2 Lists'!$CV$4,K165/'S1&amp;2 Lists'!$CQ$6,0)),3)</f>
        <v>0</v>
      </c>
      <c r="Q165" s="10" t="s">
        <v>12</v>
      </c>
    </row>
    <row r="166" spans="1:17" s="651" customFormat="1">
      <c r="A166" s="455"/>
      <c r="B166" s="455"/>
      <c r="C166" s="652"/>
      <c r="D166" s="455"/>
      <c r="E166" s="653"/>
      <c r="F166" s="455"/>
      <c r="G166" s="647"/>
      <c r="H166" s="455"/>
      <c r="I166" s="653"/>
      <c r="J166" s="455"/>
      <c r="K166" s="455"/>
      <c r="L166" s="455"/>
      <c r="M166" s="1404" t="str">
        <f>+IFERROR(VLOOKUP(G166,'S1&amp;2 Lists'!$C$4:$G$200,3,FALSE),"-")</f>
        <v>-</v>
      </c>
      <c r="N166" s="1404" t="str">
        <f t="shared" si="2"/>
        <v>-</v>
      </c>
      <c r="P166" s="1405">
        <f>ROUND(IF(L166='S1&amp;2 Lists'!$CV$3,K166,IF(L166='S1&amp;2 Lists'!$CV$4,K166/'S1&amp;2 Lists'!$CQ$6,0)),3)</f>
        <v>0</v>
      </c>
      <c r="Q166" s="10" t="s">
        <v>12</v>
      </c>
    </row>
    <row r="167" spans="1:17" s="651" customFormat="1">
      <c r="A167" s="455"/>
      <c r="B167" s="455"/>
      <c r="C167" s="652"/>
      <c r="D167" s="455"/>
      <c r="E167" s="653"/>
      <c r="F167" s="455"/>
      <c r="G167" s="647"/>
      <c r="H167" s="455"/>
      <c r="I167" s="653"/>
      <c r="J167" s="455"/>
      <c r="K167" s="455"/>
      <c r="L167" s="455"/>
      <c r="M167" s="1404" t="str">
        <f>+IFERROR(VLOOKUP(G167,'S1&amp;2 Lists'!$C$4:$G$200,3,FALSE),"-")</f>
        <v>-</v>
      </c>
      <c r="N167" s="1404" t="str">
        <f t="shared" si="2"/>
        <v>-</v>
      </c>
      <c r="P167" s="1405">
        <f>ROUND(IF(L167='S1&amp;2 Lists'!$CV$3,K167,IF(L167='S1&amp;2 Lists'!$CV$4,K167/'S1&amp;2 Lists'!$CQ$6,0)),3)</f>
        <v>0</v>
      </c>
      <c r="Q167" s="10" t="s">
        <v>12</v>
      </c>
    </row>
    <row r="168" spans="1:17" s="651" customFormat="1">
      <c r="A168" s="455"/>
      <c r="B168" s="455"/>
      <c r="C168" s="652"/>
      <c r="D168" s="455"/>
      <c r="E168" s="653"/>
      <c r="F168" s="455"/>
      <c r="G168" s="647"/>
      <c r="H168" s="455"/>
      <c r="I168" s="653"/>
      <c r="J168" s="455"/>
      <c r="K168" s="455"/>
      <c r="L168" s="455"/>
      <c r="M168" s="1404" t="str">
        <f>+IFERROR(VLOOKUP(G168,'S1&amp;2 Lists'!$C$4:$G$200,3,FALSE),"-")</f>
        <v>-</v>
      </c>
      <c r="N168" s="1404" t="str">
        <f t="shared" si="2"/>
        <v>-</v>
      </c>
      <c r="P168" s="1405">
        <f>ROUND(IF(L168='S1&amp;2 Lists'!$CV$3,K168,IF(L168='S1&amp;2 Lists'!$CV$4,K168/'S1&amp;2 Lists'!$CQ$6,0)),3)</f>
        <v>0</v>
      </c>
      <c r="Q168" s="10" t="s">
        <v>12</v>
      </c>
    </row>
    <row r="169" spans="1:17" s="651" customFormat="1">
      <c r="A169" s="455"/>
      <c r="B169" s="455"/>
      <c r="C169" s="652"/>
      <c r="D169" s="455"/>
      <c r="E169" s="653"/>
      <c r="F169" s="455"/>
      <c r="G169" s="647"/>
      <c r="H169" s="455"/>
      <c r="I169" s="653"/>
      <c r="J169" s="455"/>
      <c r="K169" s="455"/>
      <c r="L169" s="455"/>
      <c r="M169" s="1404" t="str">
        <f>+IFERROR(VLOOKUP(G169,'S1&amp;2 Lists'!$C$4:$G$200,3,FALSE),"-")</f>
        <v>-</v>
      </c>
      <c r="N169" s="1404" t="str">
        <f t="shared" si="2"/>
        <v>-</v>
      </c>
      <c r="P169" s="1405">
        <f>ROUND(IF(L169='S1&amp;2 Lists'!$CV$3,K169,IF(L169='S1&amp;2 Lists'!$CV$4,K169/'S1&amp;2 Lists'!$CQ$6,0)),3)</f>
        <v>0</v>
      </c>
      <c r="Q169" s="10" t="s">
        <v>12</v>
      </c>
    </row>
    <row r="170" spans="1:17" s="651" customFormat="1">
      <c r="A170" s="455"/>
      <c r="B170" s="455"/>
      <c r="C170" s="652"/>
      <c r="D170" s="455"/>
      <c r="E170" s="653"/>
      <c r="F170" s="455"/>
      <c r="G170" s="647"/>
      <c r="H170" s="455"/>
      <c r="I170" s="653"/>
      <c r="J170" s="455"/>
      <c r="K170" s="455"/>
      <c r="L170" s="455"/>
      <c r="M170" s="1404" t="str">
        <f>+IFERROR(VLOOKUP(G170,'S1&amp;2 Lists'!$C$4:$G$200,3,FALSE),"-")</f>
        <v>-</v>
      </c>
      <c r="N170" s="1404" t="str">
        <f t="shared" si="2"/>
        <v>-</v>
      </c>
      <c r="P170" s="1405">
        <f>ROUND(IF(L170='S1&amp;2 Lists'!$CV$3,K170,IF(L170='S1&amp;2 Lists'!$CV$4,K170/'S1&amp;2 Lists'!$CQ$6,0)),3)</f>
        <v>0</v>
      </c>
      <c r="Q170" s="10" t="s">
        <v>12</v>
      </c>
    </row>
    <row r="171" spans="1:17" s="651" customFormat="1">
      <c r="A171" s="455"/>
      <c r="B171" s="455"/>
      <c r="C171" s="652"/>
      <c r="D171" s="455"/>
      <c r="E171" s="653"/>
      <c r="F171" s="455"/>
      <c r="G171" s="647"/>
      <c r="H171" s="455"/>
      <c r="I171" s="653"/>
      <c r="J171" s="455"/>
      <c r="K171" s="455"/>
      <c r="L171" s="455"/>
      <c r="M171" s="1404" t="str">
        <f>+IFERROR(VLOOKUP(G171,'S1&amp;2 Lists'!$C$4:$G$200,3,FALSE),"-")</f>
        <v>-</v>
      </c>
      <c r="N171" s="1404" t="str">
        <f t="shared" si="2"/>
        <v>-</v>
      </c>
      <c r="P171" s="1405">
        <f>ROUND(IF(L171='S1&amp;2 Lists'!$CV$3,K171,IF(L171='S1&amp;2 Lists'!$CV$4,K171/'S1&amp;2 Lists'!$CQ$6,0)),3)</f>
        <v>0</v>
      </c>
      <c r="Q171" s="10" t="s">
        <v>12</v>
      </c>
    </row>
    <row r="172" spans="1:17" s="651" customFormat="1">
      <c r="A172" s="455"/>
      <c r="B172" s="455"/>
      <c r="C172" s="652"/>
      <c r="D172" s="455"/>
      <c r="E172" s="653"/>
      <c r="F172" s="455"/>
      <c r="G172" s="647"/>
      <c r="H172" s="455"/>
      <c r="I172" s="653"/>
      <c r="J172" s="455"/>
      <c r="K172" s="455"/>
      <c r="L172" s="455"/>
      <c r="M172" s="1404" t="str">
        <f>+IFERROR(VLOOKUP(G172,'S1&amp;2 Lists'!$C$4:$G$200,3,FALSE),"-")</f>
        <v>-</v>
      </c>
      <c r="N172" s="1404" t="str">
        <f t="shared" si="2"/>
        <v>-</v>
      </c>
      <c r="P172" s="1405">
        <f>ROUND(IF(L172='S1&amp;2 Lists'!$CV$3,K172,IF(L172='S1&amp;2 Lists'!$CV$4,K172/'S1&amp;2 Lists'!$CQ$6,0)),3)</f>
        <v>0</v>
      </c>
      <c r="Q172" s="10" t="s">
        <v>12</v>
      </c>
    </row>
    <row r="173" spans="1:17" s="651" customFormat="1">
      <c r="A173" s="455"/>
      <c r="B173" s="455"/>
      <c r="C173" s="652"/>
      <c r="D173" s="455"/>
      <c r="E173" s="653"/>
      <c r="F173" s="455"/>
      <c r="G173" s="647"/>
      <c r="H173" s="455"/>
      <c r="I173" s="653"/>
      <c r="J173" s="455"/>
      <c r="K173" s="455"/>
      <c r="L173" s="455"/>
      <c r="M173" s="1404" t="str">
        <f>+IFERROR(VLOOKUP(G173,'S1&amp;2 Lists'!$C$4:$G$200,3,FALSE),"-")</f>
        <v>-</v>
      </c>
      <c r="N173" s="1404" t="str">
        <f t="shared" si="2"/>
        <v>-</v>
      </c>
      <c r="P173" s="1405">
        <f>ROUND(IF(L173='S1&amp;2 Lists'!$CV$3,K173,IF(L173='S1&amp;2 Lists'!$CV$4,K173/'S1&amp;2 Lists'!$CQ$6,0)),3)</f>
        <v>0</v>
      </c>
      <c r="Q173" s="10" t="s">
        <v>12</v>
      </c>
    </row>
    <row r="174" spans="1:17" s="651" customFormat="1">
      <c r="A174" s="455"/>
      <c r="B174" s="455"/>
      <c r="C174" s="652"/>
      <c r="D174" s="455"/>
      <c r="E174" s="653"/>
      <c r="F174" s="455"/>
      <c r="G174" s="647"/>
      <c r="H174" s="455"/>
      <c r="I174" s="653"/>
      <c r="J174" s="455"/>
      <c r="K174" s="455"/>
      <c r="L174" s="455"/>
      <c r="M174" s="1404" t="str">
        <f>+IFERROR(VLOOKUP(G174,'S1&amp;2 Lists'!$C$4:$G$200,3,FALSE),"-")</f>
        <v>-</v>
      </c>
      <c r="N174" s="1404" t="str">
        <f t="shared" si="2"/>
        <v>-</v>
      </c>
      <c r="P174" s="1405">
        <f>ROUND(IF(L174='S1&amp;2 Lists'!$CV$3,K174,IF(L174='S1&amp;2 Lists'!$CV$4,K174/'S1&amp;2 Lists'!$CQ$6,0)),3)</f>
        <v>0</v>
      </c>
      <c r="Q174" s="10" t="s">
        <v>12</v>
      </c>
    </row>
    <row r="175" spans="1:17" s="651" customFormat="1">
      <c r="A175" s="455"/>
      <c r="B175" s="455"/>
      <c r="C175" s="652"/>
      <c r="D175" s="455"/>
      <c r="E175" s="653"/>
      <c r="F175" s="455"/>
      <c r="G175" s="647"/>
      <c r="H175" s="455"/>
      <c r="I175" s="653"/>
      <c r="J175" s="455"/>
      <c r="K175" s="455"/>
      <c r="L175" s="455"/>
      <c r="M175" s="1404" t="str">
        <f>+IFERROR(VLOOKUP(G175,'S1&amp;2 Lists'!$C$4:$G$200,3,FALSE),"-")</f>
        <v>-</v>
      </c>
      <c r="N175" s="1404" t="str">
        <f t="shared" si="2"/>
        <v>-</v>
      </c>
      <c r="P175" s="1405">
        <f>ROUND(IF(L175='S1&amp;2 Lists'!$CV$3,K175,IF(L175='S1&amp;2 Lists'!$CV$4,K175/'S1&amp;2 Lists'!$CQ$6,0)),3)</f>
        <v>0</v>
      </c>
      <c r="Q175" s="10" t="s">
        <v>12</v>
      </c>
    </row>
    <row r="176" spans="1:17" s="651" customFormat="1">
      <c r="A176" s="455"/>
      <c r="B176" s="455"/>
      <c r="C176" s="652"/>
      <c r="D176" s="455"/>
      <c r="E176" s="653"/>
      <c r="F176" s="455"/>
      <c r="G176" s="647"/>
      <c r="H176" s="455"/>
      <c r="I176" s="653"/>
      <c r="J176" s="455"/>
      <c r="K176" s="455"/>
      <c r="L176" s="455"/>
      <c r="M176" s="1404" t="str">
        <f>+IFERROR(VLOOKUP(G176,'S1&amp;2 Lists'!$C$4:$G$200,3,FALSE),"-")</f>
        <v>-</v>
      </c>
      <c r="N176" s="1404" t="str">
        <f t="shared" si="2"/>
        <v>-</v>
      </c>
      <c r="P176" s="1405">
        <f>ROUND(IF(L176='S1&amp;2 Lists'!$CV$3,K176,IF(L176='S1&amp;2 Lists'!$CV$4,K176/'S1&amp;2 Lists'!$CQ$6,0)),3)</f>
        <v>0</v>
      </c>
      <c r="Q176" s="10" t="s">
        <v>12</v>
      </c>
    </row>
    <row r="177" spans="1:17" s="651" customFormat="1">
      <c r="A177" s="455"/>
      <c r="B177" s="455"/>
      <c r="C177" s="652"/>
      <c r="D177" s="455"/>
      <c r="E177" s="653"/>
      <c r="F177" s="455"/>
      <c r="G177" s="647"/>
      <c r="H177" s="455"/>
      <c r="I177" s="653"/>
      <c r="J177" s="455"/>
      <c r="K177" s="455"/>
      <c r="L177" s="455"/>
      <c r="M177" s="1404" t="str">
        <f>+IFERROR(VLOOKUP(G177,'S1&amp;2 Lists'!$C$4:$G$200,3,FALSE),"-")</f>
        <v>-</v>
      </c>
      <c r="N177" s="1404" t="str">
        <f t="shared" si="2"/>
        <v>-</v>
      </c>
      <c r="P177" s="1405">
        <f>ROUND(IF(L177='S1&amp;2 Lists'!$CV$3,K177,IF(L177='S1&amp;2 Lists'!$CV$4,K177/'S1&amp;2 Lists'!$CQ$6,0)),3)</f>
        <v>0</v>
      </c>
      <c r="Q177" s="10" t="s">
        <v>12</v>
      </c>
    </row>
    <row r="178" spans="1:17" s="651" customFormat="1">
      <c r="A178" s="455"/>
      <c r="B178" s="455"/>
      <c r="C178" s="652"/>
      <c r="D178" s="455"/>
      <c r="E178" s="653"/>
      <c r="F178" s="455"/>
      <c r="G178" s="647"/>
      <c r="H178" s="455"/>
      <c r="I178" s="653"/>
      <c r="J178" s="455"/>
      <c r="K178" s="455"/>
      <c r="L178" s="455"/>
      <c r="M178" s="1404" t="str">
        <f>+IFERROR(VLOOKUP(G178,'S1&amp;2 Lists'!$C$4:$G$200,3,FALSE),"-")</f>
        <v>-</v>
      </c>
      <c r="N178" s="1404" t="str">
        <f t="shared" si="2"/>
        <v>-</v>
      </c>
      <c r="P178" s="1405">
        <f>ROUND(IF(L178='S1&amp;2 Lists'!$CV$3,K178,IF(L178='S1&amp;2 Lists'!$CV$4,K178/'S1&amp;2 Lists'!$CQ$6,0)),3)</f>
        <v>0</v>
      </c>
      <c r="Q178" s="10" t="s">
        <v>12</v>
      </c>
    </row>
    <row r="179" spans="1:17" s="651" customFormat="1">
      <c r="A179" s="455"/>
      <c r="B179" s="455"/>
      <c r="C179" s="652"/>
      <c r="D179" s="455"/>
      <c r="E179" s="653"/>
      <c r="F179" s="455"/>
      <c r="G179" s="647"/>
      <c r="H179" s="455"/>
      <c r="I179" s="653"/>
      <c r="J179" s="455"/>
      <c r="K179" s="455"/>
      <c r="L179" s="455"/>
      <c r="M179" s="1404" t="str">
        <f>+IFERROR(VLOOKUP(G179,'S1&amp;2 Lists'!$C$4:$G$200,3,FALSE),"-")</f>
        <v>-</v>
      </c>
      <c r="N179" s="1404" t="str">
        <f t="shared" si="2"/>
        <v>-</v>
      </c>
      <c r="P179" s="1405">
        <f>ROUND(IF(L179='S1&amp;2 Lists'!$CV$3,K179,IF(L179='S1&amp;2 Lists'!$CV$4,K179/'S1&amp;2 Lists'!$CQ$6,0)),3)</f>
        <v>0</v>
      </c>
      <c r="Q179" s="10" t="s">
        <v>12</v>
      </c>
    </row>
    <row r="180" spans="1:17" s="651" customFormat="1">
      <c r="A180" s="455"/>
      <c r="B180" s="455"/>
      <c r="C180" s="652"/>
      <c r="D180" s="455"/>
      <c r="E180" s="653"/>
      <c r="F180" s="455"/>
      <c r="G180" s="647"/>
      <c r="H180" s="455"/>
      <c r="I180" s="653"/>
      <c r="J180" s="455"/>
      <c r="K180" s="455"/>
      <c r="L180" s="455"/>
      <c r="M180" s="1404" t="str">
        <f>+IFERROR(VLOOKUP(G180,'S1&amp;2 Lists'!$C$4:$G$200,3,FALSE),"-")</f>
        <v>-</v>
      </c>
      <c r="N180" s="1404" t="str">
        <f t="shared" si="2"/>
        <v>-</v>
      </c>
      <c r="P180" s="1405">
        <f>ROUND(IF(L180='S1&amp;2 Lists'!$CV$3,K180,IF(L180='S1&amp;2 Lists'!$CV$4,K180/'S1&amp;2 Lists'!$CQ$6,0)),3)</f>
        <v>0</v>
      </c>
      <c r="Q180" s="10" t="s">
        <v>12</v>
      </c>
    </row>
    <row r="181" spans="1:17" s="651" customFormat="1">
      <c r="A181" s="455"/>
      <c r="B181" s="455"/>
      <c r="C181" s="652"/>
      <c r="D181" s="455"/>
      <c r="E181" s="653"/>
      <c r="F181" s="455"/>
      <c r="G181" s="647"/>
      <c r="H181" s="455"/>
      <c r="I181" s="653"/>
      <c r="J181" s="455"/>
      <c r="K181" s="455"/>
      <c r="L181" s="455"/>
      <c r="M181" s="1404" t="str">
        <f>+IFERROR(VLOOKUP(G181,'S1&amp;2 Lists'!$C$4:$G$200,3,FALSE),"-")</f>
        <v>-</v>
      </c>
      <c r="N181" s="1404" t="str">
        <f t="shared" si="2"/>
        <v>-</v>
      </c>
      <c r="P181" s="1405">
        <f>ROUND(IF(L181='S1&amp;2 Lists'!$CV$3,K181,IF(L181='S1&amp;2 Lists'!$CV$4,K181/'S1&amp;2 Lists'!$CQ$6,0)),3)</f>
        <v>0</v>
      </c>
      <c r="Q181" s="10" t="s">
        <v>12</v>
      </c>
    </row>
    <row r="182" spans="1:17" s="651" customFormat="1">
      <c r="A182" s="455"/>
      <c r="B182" s="455"/>
      <c r="C182" s="652"/>
      <c r="D182" s="455"/>
      <c r="E182" s="653"/>
      <c r="F182" s="455"/>
      <c r="G182" s="647"/>
      <c r="H182" s="455"/>
      <c r="I182" s="653"/>
      <c r="J182" s="455"/>
      <c r="K182" s="455"/>
      <c r="L182" s="455"/>
      <c r="M182" s="1404" t="str">
        <f>+IFERROR(VLOOKUP(G182,'S1&amp;2 Lists'!$C$4:$G$200,3,FALSE),"-")</f>
        <v>-</v>
      </c>
      <c r="N182" s="1404" t="str">
        <f t="shared" si="2"/>
        <v>-</v>
      </c>
      <c r="P182" s="1405">
        <f>ROUND(IF(L182='S1&amp;2 Lists'!$CV$3,K182,IF(L182='S1&amp;2 Lists'!$CV$4,K182/'S1&amp;2 Lists'!$CQ$6,0)),3)</f>
        <v>0</v>
      </c>
      <c r="Q182" s="10" t="s">
        <v>12</v>
      </c>
    </row>
    <row r="183" spans="1:17" s="651" customFormat="1">
      <c r="A183" s="455"/>
      <c r="B183" s="455"/>
      <c r="C183" s="652"/>
      <c r="D183" s="455"/>
      <c r="E183" s="653"/>
      <c r="F183" s="455"/>
      <c r="G183" s="647"/>
      <c r="H183" s="455"/>
      <c r="I183" s="653"/>
      <c r="J183" s="455"/>
      <c r="K183" s="455"/>
      <c r="L183" s="455"/>
      <c r="M183" s="1404" t="str">
        <f>+IFERROR(VLOOKUP(G183,'S1&amp;2 Lists'!$C$4:$G$200,3,FALSE),"-")</f>
        <v>-</v>
      </c>
      <c r="N183" s="1404" t="str">
        <f t="shared" si="2"/>
        <v>-</v>
      </c>
      <c r="P183" s="1405">
        <f>ROUND(IF(L183='S1&amp;2 Lists'!$CV$3,K183,IF(L183='S1&amp;2 Lists'!$CV$4,K183/'S1&amp;2 Lists'!$CQ$6,0)),3)</f>
        <v>0</v>
      </c>
      <c r="Q183" s="10" t="s">
        <v>12</v>
      </c>
    </row>
    <row r="184" spans="1:17" s="651" customFormat="1">
      <c r="A184" s="455"/>
      <c r="B184" s="455"/>
      <c r="C184" s="652"/>
      <c r="D184" s="455"/>
      <c r="E184" s="653"/>
      <c r="F184" s="455"/>
      <c r="G184" s="647"/>
      <c r="H184" s="455"/>
      <c r="I184" s="653"/>
      <c r="J184" s="455"/>
      <c r="K184" s="455"/>
      <c r="L184" s="455"/>
      <c r="M184" s="1404" t="str">
        <f>+IFERROR(VLOOKUP(G184,'S1&amp;2 Lists'!$C$4:$G$200,3,FALSE),"-")</f>
        <v>-</v>
      </c>
      <c r="N184" s="1404" t="str">
        <f t="shared" si="2"/>
        <v>-</v>
      </c>
      <c r="P184" s="1405">
        <f>ROUND(IF(L184='S1&amp;2 Lists'!$CV$3,K184,IF(L184='S1&amp;2 Lists'!$CV$4,K184/'S1&amp;2 Lists'!$CQ$6,0)),3)</f>
        <v>0</v>
      </c>
      <c r="Q184" s="10" t="s">
        <v>12</v>
      </c>
    </row>
    <row r="185" spans="1:17" s="651" customFormat="1">
      <c r="A185" s="455"/>
      <c r="B185" s="455"/>
      <c r="C185" s="652"/>
      <c r="D185" s="455"/>
      <c r="E185" s="653"/>
      <c r="F185" s="455"/>
      <c r="G185" s="647"/>
      <c r="H185" s="455"/>
      <c r="I185" s="653"/>
      <c r="J185" s="455"/>
      <c r="K185" s="455"/>
      <c r="L185" s="455"/>
      <c r="M185" s="1404" t="str">
        <f>+IFERROR(VLOOKUP(G185,'S1&amp;2 Lists'!$C$4:$G$200,3,FALSE),"-")</f>
        <v>-</v>
      </c>
      <c r="N185" s="1404" t="str">
        <f t="shared" si="2"/>
        <v>-</v>
      </c>
      <c r="P185" s="1405">
        <f>ROUND(IF(L185='S1&amp;2 Lists'!$CV$3,K185,IF(L185='S1&amp;2 Lists'!$CV$4,K185/'S1&amp;2 Lists'!$CQ$6,0)),3)</f>
        <v>0</v>
      </c>
      <c r="Q185" s="10" t="s">
        <v>12</v>
      </c>
    </row>
    <row r="186" spans="1:17" s="651" customFormat="1">
      <c r="A186" s="455"/>
      <c r="B186" s="455"/>
      <c r="C186" s="652"/>
      <c r="D186" s="455"/>
      <c r="E186" s="653"/>
      <c r="F186" s="455"/>
      <c r="G186" s="647"/>
      <c r="H186" s="455"/>
      <c r="I186" s="653"/>
      <c r="J186" s="455"/>
      <c r="K186" s="455"/>
      <c r="L186" s="455"/>
      <c r="M186" s="1404" t="str">
        <f>+IFERROR(VLOOKUP(G186,'S1&amp;2 Lists'!$C$4:$G$200,3,FALSE),"-")</f>
        <v>-</v>
      </c>
      <c r="N186" s="1404" t="str">
        <f t="shared" si="2"/>
        <v>-</v>
      </c>
      <c r="P186" s="1405">
        <f>ROUND(IF(L186='S1&amp;2 Lists'!$CV$3,K186,IF(L186='S1&amp;2 Lists'!$CV$4,K186/'S1&amp;2 Lists'!$CQ$6,0)),3)</f>
        <v>0</v>
      </c>
      <c r="Q186" s="10" t="s">
        <v>12</v>
      </c>
    </row>
    <row r="187" spans="1:17" s="651" customFormat="1">
      <c r="A187" s="455"/>
      <c r="B187" s="455"/>
      <c r="C187" s="652"/>
      <c r="D187" s="455"/>
      <c r="E187" s="653"/>
      <c r="F187" s="455"/>
      <c r="G187" s="647"/>
      <c r="H187" s="455"/>
      <c r="I187" s="653"/>
      <c r="J187" s="455"/>
      <c r="K187" s="455"/>
      <c r="L187" s="455"/>
      <c r="M187" s="1404" t="str">
        <f>+IFERROR(VLOOKUP(G187,'S1&amp;2 Lists'!$C$4:$G$200,3,FALSE),"-")</f>
        <v>-</v>
      </c>
      <c r="N187" s="1404" t="str">
        <f t="shared" si="2"/>
        <v>-</v>
      </c>
      <c r="P187" s="1405">
        <f>ROUND(IF(L187='S1&amp;2 Lists'!$CV$3,K187,IF(L187='S1&amp;2 Lists'!$CV$4,K187/'S1&amp;2 Lists'!$CQ$6,0)),3)</f>
        <v>0</v>
      </c>
      <c r="Q187" s="10" t="s">
        <v>12</v>
      </c>
    </row>
    <row r="188" spans="1:17" s="651" customFormat="1">
      <c r="A188" s="455"/>
      <c r="B188" s="455"/>
      <c r="C188" s="652"/>
      <c r="D188" s="455"/>
      <c r="E188" s="653"/>
      <c r="F188" s="455"/>
      <c r="G188" s="647"/>
      <c r="H188" s="455"/>
      <c r="I188" s="653"/>
      <c r="J188" s="455"/>
      <c r="K188" s="455"/>
      <c r="L188" s="455"/>
      <c r="M188" s="1404" t="str">
        <f>+IFERROR(VLOOKUP(G188,'S1&amp;2 Lists'!$C$4:$G$200,3,FALSE),"-")</f>
        <v>-</v>
      </c>
      <c r="N188" s="1404" t="str">
        <f t="shared" si="2"/>
        <v>-</v>
      </c>
      <c r="P188" s="1405">
        <f>ROUND(IF(L188='S1&amp;2 Lists'!$CV$3,K188,IF(L188='S1&amp;2 Lists'!$CV$4,K188/'S1&amp;2 Lists'!$CQ$6,0)),3)</f>
        <v>0</v>
      </c>
      <c r="Q188" s="10" t="s">
        <v>12</v>
      </c>
    </row>
    <row r="189" spans="1:17" s="651" customFormat="1">
      <c r="A189" s="455"/>
      <c r="B189" s="455"/>
      <c r="C189" s="652"/>
      <c r="D189" s="455"/>
      <c r="E189" s="653"/>
      <c r="F189" s="455"/>
      <c r="G189" s="647"/>
      <c r="H189" s="455"/>
      <c r="I189" s="653"/>
      <c r="J189" s="455"/>
      <c r="K189" s="455"/>
      <c r="L189" s="455"/>
      <c r="M189" s="1404" t="str">
        <f>+IFERROR(VLOOKUP(G189,'S1&amp;2 Lists'!$C$4:$G$200,3,FALSE),"-")</f>
        <v>-</v>
      </c>
      <c r="N189" s="1404" t="str">
        <f t="shared" si="2"/>
        <v>-</v>
      </c>
      <c r="P189" s="1405">
        <f>ROUND(IF(L189='S1&amp;2 Lists'!$CV$3,K189,IF(L189='S1&amp;2 Lists'!$CV$4,K189/'S1&amp;2 Lists'!$CQ$6,0)),3)</f>
        <v>0</v>
      </c>
      <c r="Q189" s="10" t="s">
        <v>12</v>
      </c>
    </row>
    <row r="190" spans="1:17" s="651" customFormat="1">
      <c r="A190" s="455"/>
      <c r="B190" s="455"/>
      <c r="C190" s="652"/>
      <c r="D190" s="455"/>
      <c r="E190" s="653"/>
      <c r="F190" s="455"/>
      <c r="G190" s="647"/>
      <c r="H190" s="455"/>
      <c r="I190" s="653"/>
      <c r="J190" s="455"/>
      <c r="K190" s="455"/>
      <c r="L190" s="455"/>
      <c r="M190" s="1404" t="str">
        <f>+IFERROR(VLOOKUP(G190,'S1&amp;2 Lists'!$C$4:$G$200,3,FALSE),"-")</f>
        <v>-</v>
      </c>
      <c r="N190" s="1404" t="str">
        <f t="shared" si="2"/>
        <v>-</v>
      </c>
      <c r="P190" s="1405">
        <f>ROUND(IF(L190='S1&amp;2 Lists'!$CV$3,K190,IF(L190='S1&amp;2 Lists'!$CV$4,K190/'S1&amp;2 Lists'!$CQ$6,0)),3)</f>
        <v>0</v>
      </c>
      <c r="Q190" s="10" t="s">
        <v>12</v>
      </c>
    </row>
    <row r="191" spans="1:17" s="651" customFormat="1">
      <c r="A191" s="455"/>
      <c r="B191" s="455"/>
      <c r="C191" s="652"/>
      <c r="D191" s="455"/>
      <c r="E191" s="653"/>
      <c r="F191" s="455"/>
      <c r="G191" s="647"/>
      <c r="H191" s="455"/>
      <c r="I191" s="653"/>
      <c r="J191" s="455"/>
      <c r="K191" s="455"/>
      <c r="L191" s="455"/>
      <c r="M191" s="1404" t="str">
        <f>+IFERROR(VLOOKUP(G191,'S1&amp;2 Lists'!$C$4:$G$200,3,FALSE),"-")</f>
        <v>-</v>
      </c>
      <c r="N191" s="1404" t="str">
        <f t="shared" si="2"/>
        <v>-</v>
      </c>
      <c r="P191" s="1405">
        <f>ROUND(IF(L191='S1&amp;2 Lists'!$CV$3,K191,IF(L191='S1&amp;2 Lists'!$CV$4,K191/'S1&amp;2 Lists'!$CQ$6,0)),3)</f>
        <v>0</v>
      </c>
      <c r="Q191" s="10" t="s">
        <v>12</v>
      </c>
    </row>
    <row r="192" spans="1:17" s="651" customFormat="1">
      <c r="A192" s="455"/>
      <c r="B192" s="455"/>
      <c r="C192" s="652"/>
      <c r="D192" s="455"/>
      <c r="E192" s="653"/>
      <c r="F192" s="455"/>
      <c r="G192" s="647"/>
      <c r="H192" s="455"/>
      <c r="I192" s="653"/>
      <c r="J192" s="455"/>
      <c r="K192" s="455"/>
      <c r="L192" s="455"/>
      <c r="M192" s="1404" t="str">
        <f>+IFERROR(VLOOKUP(G192,'S1&amp;2 Lists'!$C$4:$G$200,3,FALSE),"-")</f>
        <v>-</v>
      </c>
      <c r="N192" s="1404" t="str">
        <f t="shared" si="2"/>
        <v>-</v>
      </c>
      <c r="P192" s="1405">
        <f>ROUND(IF(L192='S1&amp;2 Lists'!$CV$3,K192,IF(L192='S1&amp;2 Lists'!$CV$4,K192/'S1&amp;2 Lists'!$CQ$6,0)),3)</f>
        <v>0</v>
      </c>
      <c r="Q192" s="10" t="s">
        <v>12</v>
      </c>
    </row>
    <row r="193" spans="1:17" s="651" customFormat="1">
      <c r="A193" s="455"/>
      <c r="B193" s="455"/>
      <c r="C193" s="652"/>
      <c r="D193" s="455"/>
      <c r="E193" s="653"/>
      <c r="F193" s="455"/>
      <c r="G193" s="647"/>
      <c r="H193" s="455"/>
      <c r="I193" s="653"/>
      <c r="J193" s="455"/>
      <c r="K193" s="455"/>
      <c r="L193" s="455"/>
      <c r="M193" s="1404" t="str">
        <f>+IFERROR(VLOOKUP(G193,'S1&amp;2 Lists'!$C$4:$G$200,3,FALSE),"-")</f>
        <v>-</v>
      </c>
      <c r="N193" s="1404" t="str">
        <f t="shared" si="2"/>
        <v>-</v>
      </c>
      <c r="P193" s="1405">
        <f>ROUND(IF(L193='S1&amp;2 Lists'!$CV$3,K193,IF(L193='S1&amp;2 Lists'!$CV$4,K193/'S1&amp;2 Lists'!$CQ$6,0)),3)</f>
        <v>0</v>
      </c>
      <c r="Q193" s="10" t="s">
        <v>12</v>
      </c>
    </row>
    <row r="194" spans="1:17" s="651" customFormat="1">
      <c r="A194" s="455"/>
      <c r="B194" s="455"/>
      <c r="C194" s="652"/>
      <c r="D194" s="455"/>
      <c r="E194" s="653"/>
      <c r="F194" s="455"/>
      <c r="G194" s="647"/>
      <c r="H194" s="455"/>
      <c r="I194" s="653"/>
      <c r="J194" s="455"/>
      <c r="K194" s="455"/>
      <c r="L194" s="455"/>
      <c r="M194" s="1404" t="str">
        <f>+IFERROR(VLOOKUP(G194,'S1&amp;2 Lists'!$C$4:$G$200,3,FALSE),"-")</f>
        <v>-</v>
      </c>
      <c r="N194" s="1404" t="str">
        <f t="shared" si="2"/>
        <v>-</v>
      </c>
      <c r="P194" s="1405">
        <f>ROUND(IF(L194='S1&amp;2 Lists'!$CV$3,K194,IF(L194='S1&amp;2 Lists'!$CV$4,K194/'S1&amp;2 Lists'!$CQ$6,0)),3)</f>
        <v>0</v>
      </c>
      <c r="Q194" s="10" t="s">
        <v>12</v>
      </c>
    </row>
    <row r="195" spans="1:17" s="651" customFormat="1">
      <c r="A195" s="455"/>
      <c r="B195" s="455"/>
      <c r="C195" s="652"/>
      <c r="D195" s="455"/>
      <c r="E195" s="653"/>
      <c r="F195" s="455"/>
      <c r="G195" s="647"/>
      <c r="H195" s="455"/>
      <c r="I195" s="653"/>
      <c r="J195" s="455"/>
      <c r="K195" s="455"/>
      <c r="L195" s="455"/>
      <c r="M195" s="1404" t="str">
        <f>+IFERROR(VLOOKUP(G195,'S1&amp;2 Lists'!$C$4:$G$200,3,FALSE),"-")</f>
        <v>-</v>
      </c>
      <c r="N195" s="1404" t="str">
        <f t="shared" si="2"/>
        <v>-</v>
      </c>
      <c r="P195" s="1405">
        <f>ROUND(IF(L195='S1&amp;2 Lists'!$CV$3,K195,IF(L195='S1&amp;2 Lists'!$CV$4,K195/'S1&amp;2 Lists'!$CQ$6,0)),3)</f>
        <v>0</v>
      </c>
      <c r="Q195" s="10" t="s">
        <v>12</v>
      </c>
    </row>
    <row r="196" spans="1:17" s="651" customFormat="1">
      <c r="A196" s="455"/>
      <c r="B196" s="455"/>
      <c r="C196" s="652"/>
      <c r="D196" s="455"/>
      <c r="E196" s="653"/>
      <c r="F196" s="455"/>
      <c r="G196" s="647"/>
      <c r="H196" s="455"/>
      <c r="I196" s="653"/>
      <c r="J196" s="455"/>
      <c r="K196" s="455"/>
      <c r="L196" s="455"/>
      <c r="M196" s="1404" t="str">
        <f>+IFERROR(VLOOKUP(G196,'S1&amp;2 Lists'!$C$4:$G$200,3,FALSE),"-")</f>
        <v>-</v>
      </c>
      <c r="N196" s="1404" t="str">
        <f t="shared" si="2"/>
        <v>-</v>
      </c>
      <c r="P196" s="1405">
        <f>ROUND(IF(L196='S1&amp;2 Lists'!$CV$3,K196,IF(L196='S1&amp;2 Lists'!$CV$4,K196/'S1&amp;2 Lists'!$CQ$6,0)),3)</f>
        <v>0</v>
      </c>
      <c r="Q196" s="10" t="s">
        <v>12</v>
      </c>
    </row>
    <row r="197" spans="1:17" s="651" customFormat="1">
      <c r="A197" s="455"/>
      <c r="B197" s="455"/>
      <c r="C197" s="652"/>
      <c r="D197" s="455"/>
      <c r="E197" s="653"/>
      <c r="F197" s="455"/>
      <c r="G197" s="647"/>
      <c r="H197" s="455"/>
      <c r="I197" s="653"/>
      <c r="J197" s="455"/>
      <c r="K197" s="455"/>
      <c r="L197" s="455"/>
      <c r="M197" s="1404" t="str">
        <f>+IFERROR(VLOOKUP(G197,'S1&amp;2 Lists'!$C$4:$G$200,3,FALSE),"-")</f>
        <v>-</v>
      </c>
      <c r="N197" s="1404" t="str">
        <f t="shared" si="2"/>
        <v>-</v>
      </c>
      <c r="P197" s="1405">
        <f>ROUND(IF(L197='S1&amp;2 Lists'!$CV$3,K197,IF(L197='S1&amp;2 Lists'!$CV$4,K197/'S1&amp;2 Lists'!$CQ$6,0)),3)</f>
        <v>0</v>
      </c>
      <c r="Q197" s="10" t="s">
        <v>12</v>
      </c>
    </row>
    <row r="198" spans="1:17" s="651" customFormat="1">
      <c r="A198" s="455"/>
      <c r="B198" s="455"/>
      <c r="C198" s="652"/>
      <c r="D198" s="455"/>
      <c r="E198" s="653"/>
      <c r="F198" s="455"/>
      <c r="G198" s="647"/>
      <c r="H198" s="455"/>
      <c r="I198" s="653"/>
      <c r="J198" s="455"/>
      <c r="K198" s="455"/>
      <c r="L198" s="455"/>
      <c r="M198" s="1404" t="str">
        <f>+IFERROR(VLOOKUP(G198,'S1&amp;2 Lists'!$C$4:$G$200,3,FALSE),"-")</f>
        <v>-</v>
      </c>
      <c r="N198" s="1404" t="str">
        <f t="shared" si="2"/>
        <v>-</v>
      </c>
      <c r="P198" s="1405">
        <f>ROUND(IF(L198='S1&amp;2 Lists'!$CV$3,K198,IF(L198='S1&amp;2 Lists'!$CV$4,K198/'S1&amp;2 Lists'!$CQ$6,0)),3)</f>
        <v>0</v>
      </c>
      <c r="Q198" s="10" t="s">
        <v>12</v>
      </c>
    </row>
    <row r="199" spans="1:17" s="651" customFormat="1">
      <c r="A199" s="455"/>
      <c r="B199" s="455"/>
      <c r="C199" s="652"/>
      <c r="D199" s="455"/>
      <c r="E199" s="653"/>
      <c r="F199" s="455"/>
      <c r="G199" s="647"/>
      <c r="H199" s="455"/>
      <c r="I199" s="653"/>
      <c r="J199" s="455"/>
      <c r="K199" s="455"/>
      <c r="L199" s="455"/>
      <c r="M199" s="1404" t="str">
        <f>+IFERROR(VLOOKUP(G199,'S1&amp;2 Lists'!$C$4:$G$200,3,FALSE),"-")</f>
        <v>-</v>
      </c>
      <c r="N199" s="1404" t="str">
        <f t="shared" si="2"/>
        <v>-</v>
      </c>
      <c r="P199" s="1405">
        <f>ROUND(IF(L199='S1&amp;2 Lists'!$CV$3,K199,IF(L199='S1&amp;2 Lists'!$CV$4,K199/'S1&amp;2 Lists'!$CQ$6,0)),3)</f>
        <v>0</v>
      </c>
      <c r="Q199" s="10" t="s">
        <v>12</v>
      </c>
    </row>
    <row r="200" spans="1:17" s="651" customFormat="1">
      <c r="A200" s="455"/>
      <c r="B200" s="455"/>
      <c r="C200" s="652"/>
      <c r="D200" s="455"/>
      <c r="E200" s="653"/>
      <c r="F200" s="455"/>
      <c r="G200" s="647"/>
      <c r="H200" s="455"/>
      <c r="I200" s="653"/>
      <c r="J200" s="455"/>
      <c r="K200" s="455"/>
      <c r="L200" s="455"/>
      <c r="M200" s="1404" t="str">
        <f>+IFERROR(VLOOKUP(G200,'S1&amp;2 Lists'!$C$4:$G$200,3,FALSE),"-")</f>
        <v>-</v>
      </c>
      <c r="N200" s="1404" t="str">
        <f t="shared" si="2"/>
        <v>-</v>
      </c>
      <c r="P200" s="1405">
        <f>ROUND(IF(L200='S1&amp;2 Lists'!$CV$3,K200,IF(L200='S1&amp;2 Lists'!$CV$4,K200/'S1&amp;2 Lists'!$CQ$6,0)),3)</f>
        <v>0</v>
      </c>
      <c r="Q200" s="10" t="s">
        <v>12</v>
      </c>
    </row>
    <row r="201" spans="1:17" s="651" customFormat="1">
      <c r="A201" s="455"/>
      <c r="B201" s="455"/>
      <c r="C201" s="652"/>
      <c r="D201" s="455"/>
      <c r="E201" s="653"/>
      <c r="F201" s="455"/>
      <c r="G201" s="647"/>
      <c r="H201" s="455"/>
      <c r="I201" s="653"/>
      <c r="J201" s="455"/>
      <c r="K201" s="455"/>
      <c r="L201" s="455"/>
      <c r="M201" s="1404" t="str">
        <f>+IFERROR(VLOOKUP(G201,'S1&amp;2 Lists'!$C$4:$G$200,3,FALSE),"-")</f>
        <v>-</v>
      </c>
      <c r="N201" s="1404" t="str">
        <f t="shared" si="2"/>
        <v>-</v>
      </c>
      <c r="P201" s="1405">
        <f>ROUND(IF(L201='S1&amp;2 Lists'!$CV$3,K201,IF(L201='S1&amp;2 Lists'!$CV$4,K201/'S1&amp;2 Lists'!$CQ$6,0)),3)</f>
        <v>0</v>
      </c>
      <c r="Q201" s="10" t="s">
        <v>12</v>
      </c>
    </row>
    <row r="202" spans="1:17" s="651" customFormat="1">
      <c r="A202" s="455"/>
      <c r="B202" s="455"/>
      <c r="C202" s="652"/>
      <c r="D202" s="455"/>
      <c r="E202" s="653"/>
      <c r="F202" s="455"/>
      <c r="G202" s="647"/>
      <c r="H202" s="455"/>
      <c r="I202" s="653"/>
      <c r="J202" s="455"/>
      <c r="K202" s="455"/>
      <c r="L202" s="455"/>
      <c r="M202" s="1404" t="str">
        <f>+IFERROR(VLOOKUP(G202,'S1&amp;2 Lists'!$C$4:$G$200,3,FALSE),"-")</f>
        <v>-</v>
      </c>
      <c r="N202" s="1404" t="str">
        <f t="shared" si="2"/>
        <v>-</v>
      </c>
      <c r="P202" s="1405">
        <f>ROUND(IF(L202='S1&amp;2 Lists'!$CV$3,K202,IF(L202='S1&amp;2 Lists'!$CV$4,K202/'S1&amp;2 Lists'!$CQ$6,0)),3)</f>
        <v>0</v>
      </c>
      <c r="Q202" s="10" t="s">
        <v>12</v>
      </c>
    </row>
    <row r="203" spans="1:17" s="651" customFormat="1">
      <c r="A203" s="455"/>
      <c r="B203" s="455"/>
      <c r="C203" s="652"/>
      <c r="D203" s="455"/>
      <c r="E203" s="653"/>
      <c r="F203" s="455"/>
      <c r="G203" s="647"/>
      <c r="H203" s="455"/>
      <c r="I203" s="653"/>
      <c r="J203" s="455"/>
      <c r="K203" s="455"/>
      <c r="L203" s="455"/>
      <c r="M203" s="1404" t="str">
        <f>+IFERROR(VLOOKUP(G203,'S1&amp;2 Lists'!$C$4:$G$200,3,FALSE),"-")</f>
        <v>-</v>
      </c>
      <c r="N203" s="1404" t="str">
        <f t="shared" ref="N203:N266" si="3">+IFERROR(P203*M203,"-")</f>
        <v>-</v>
      </c>
      <c r="P203" s="1405">
        <f>ROUND(IF(L203='S1&amp;2 Lists'!$CV$3,K203,IF(L203='S1&amp;2 Lists'!$CV$4,K203/'S1&amp;2 Lists'!$CQ$6,0)),3)</f>
        <v>0</v>
      </c>
      <c r="Q203" s="10" t="s">
        <v>12</v>
      </c>
    </row>
    <row r="204" spans="1:17" s="651" customFormat="1">
      <c r="A204" s="455"/>
      <c r="B204" s="455"/>
      <c r="C204" s="652"/>
      <c r="D204" s="455"/>
      <c r="E204" s="653"/>
      <c r="F204" s="455"/>
      <c r="G204" s="647"/>
      <c r="H204" s="455"/>
      <c r="I204" s="653"/>
      <c r="J204" s="455"/>
      <c r="K204" s="455"/>
      <c r="L204" s="455"/>
      <c r="M204" s="1404" t="str">
        <f>+IFERROR(VLOOKUP(G204,'S1&amp;2 Lists'!$C$4:$G$200,3,FALSE),"-")</f>
        <v>-</v>
      </c>
      <c r="N204" s="1404" t="str">
        <f t="shared" si="3"/>
        <v>-</v>
      </c>
      <c r="P204" s="1405">
        <f>ROUND(IF(L204='S1&amp;2 Lists'!$CV$3,K204,IF(L204='S1&amp;2 Lists'!$CV$4,K204/'S1&amp;2 Lists'!$CQ$6,0)),3)</f>
        <v>0</v>
      </c>
      <c r="Q204" s="10" t="s">
        <v>12</v>
      </c>
    </row>
    <row r="205" spans="1:17" s="651" customFormat="1">
      <c r="A205" s="455"/>
      <c r="B205" s="455"/>
      <c r="C205" s="652"/>
      <c r="D205" s="455"/>
      <c r="E205" s="653"/>
      <c r="F205" s="455"/>
      <c r="G205" s="647"/>
      <c r="H205" s="455"/>
      <c r="I205" s="653"/>
      <c r="J205" s="455"/>
      <c r="K205" s="455"/>
      <c r="L205" s="455"/>
      <c r="M205" s="1404" t="str">
        <f>+IFERROR(VLOOKUP(G205,'S1&amp;2 Lists'!$C$4:$G$200,3,FALSE),"-")</f>
        <v>-</v>
      </c>
      <c r="N205" s="1404" t="str">
        <f t="shared" si="3"/>
        <v>-</v>
      </c>
      <c r="P205" s="1405">
        <f>ROUND(IF(L205='S1&amp;2 Lists'!$CV$3,K205,IF(L205='S1&amp;2 Lists'!$CV$4,K205/'S1&amp;2 Lists'!$CQ$6,0)),3)</f>
        <v>0</v>
      </c>
      <c r="Q205" s="10" t="s">
        <v>12</v>
      </c>
    </row>
    <row r="206" spans="1:17" s="651" customFormat="1">
      <c r="A206" s="455"/>
      <c r="B206" s="455"/>
      <c r="C206" s="652"/>
      <c r="D206" s="455"/>
      <c r="E206" s="653"/>
      <c r="F206" s="455"/>
      <c r="G206" s="647"/>
      <c r="H206" s="455"/>
      <c r="I206" s="653"/>
      <c r="J206" s="455"/>
      <c r="K206" s="455"/>
      <c r="L206" s="455"/>
      <c r="M206" s="1404" t="str">
        <f>+IFERROR(VLOOKUP(G206,'S1&amp;2 Lists'!$C$4:$G$200,3,FALSE),"-")</f>
        <v>-</v>
      </c>
      <c r="N206" s="1404" t="str">
        <f t="shared" si="3"/>
        <v>-</v>
      </c>
      <c r="P206" s="1405">
        <f>ROUND(IF(L206='S1&amp;2 Lists'!$CV$3,K206,IF(L206='S1&amp;2 Lists'!$CV$4,K206/'S1&amp;2 Lists'!$CQ$6,0)),3)</f>
        <v>0</v>
      </c>
      <c r="Q206" s="10" t="s">
        <v>12</v>
      </c>
    </row>
    <row r="207" spans="1:17" s="651" customFormat="1">
      <c r="A207" s="455"/>
      <c r="B207" s="455"/>
      <c r="C207" s="652"/>
      <c r="D207" s="455"/>
      <c r="E207" s="653"/>
      <c r="F207" s="455"/>
      <c r="G207" s="647"/>
      <c r="H207" s="455"/>
      <c r="I207" s="653"/>
      <c r="J207" s="455"/>
      <c r="K207" s="455"/>
      <c r="L207" s="455"/>
      <c r="M207" s="1404" t="str">
        <f>+IFERROR(VLOOKUP(G207,'S1&amp;2 Lists'!$C$4:$G$200,3,FALSE),"-")</f>
        <v>-</v>
      </c>
      <c r="N207" s="1404" t="str">
        <f t="shared" si="3"/>
        <v>-</v>
      </c>
      <c r="P207" s="1405">
        <f>ROUND(IF(L207='S1&amp;2 Lists'!$CV$3,K207,IF(L207='S1&amp;2 Lists'!$CV$4,K207/'S1&amp;2 Lists'!$CQ$6,0)),3)</f>
        <v>0</v>
      </c>
      <c r="Q207" s="10" t="s">
        <v>12</v>
      </c>
    </row>
    <row r="208" spans="1:17" s="651" customFormat="1">
      <c r="A208" s="455"/>
      <c r="B208" s="455"/>
      <c r="C208" s="652"/>
      <c r="D208" s="455"/>
      <c r="E208" s="653"/>
      <c r="F208" s="455"/>
      <c r="G208" s="647"/>
      <c r="H208" s="455"/>
      <c r="I208" s="653"/>
      <c r="J208" s="455"/>
      <c r="K208" s="455"/>
      <c r="L208" s="455"/>
      <c r="M208" s="1404" t="str">
        <f>+IFERROR(VLOOKUP(G208,'S1&amp;2 Lists'!$C$4:$G$200,3,FALSE),"-")</f>
        <v>-</v>
      </c>
      <c r="N208" s="1404" t="str">
        <f t="shared" si="3"/>
        <v>-</v>
      </c>
      <c r="P208" s="1405">
        <f>ROUND(IF(L208='S1&amp;2 Lists'!$CV$3,K208,IF(L208='S1&amp;2 Lists'!$CV$4,K208/'S1&amp;2 Lists'!$CQ$6,0)),3)</f>
        <v>0</v>
      </c>
      <c r="Q208" s="10" t="s">
        <v>12</v>
      </c>
    </row>
    <row r="209" spans="1:17" s="651" customFormat="1">
      <c r="A209" s="455"/>
      <c r="B209" s="455"/>
      <c r="C209" s="652"/>
      <c r="D209" s="455"/>
      <c r="E209" s="653"/>
      <c r="F209" s="455"/>
      <c r="G209" s="647"/>
      <c r="H209" s="455"/>
      <c r="I209" s="653"/>
      <c r="J209" s="455"/>
      <c r="K209" s="455"/>
      <c r="L209" s="455"/>
      <c r="M209" s="1404" t="str">
        <f>+IFERROR(VLOOKUP(G209,'S1&amp;2 Lists'!$C$4:$G$200,3,FALSE),"-")</f>
        <v>-</v>
      </c>
      <c r="N209" s="1404" t="str">
        <f t="shared" si="3"/>
        <v>-</v>
      </c>
      <c r="P209" s="1405">
        <f>ROUND(IF(L209='S1&amp;2 Lists'!$CV$3,K209,IF(L209='S1&amp;2 Lists'!$CV$4,K209/'S1&amp;2 Lists'!$CQ$6,0)),3)</f>
        <v>0</v>
      </c>
      <c r="Q209" s="10" t="s">
        <v>12</v>
      </c>
    </row>
    <row r="210" spans="1:17" s="651" customFormat="1">
      <c r="A210" s="455"/>
      <c r="B210" s="455"/>
      <c r="C210" s="652"/>
      <c r="D210" s="455"/>
      <c r="E210" s="653"/>
      <c r="F210" s="455"/>
      <c r="G210" s="647"/>
      <c r="H210" s="455"/>
      <c r="I210" s="653"/>
      <c r="J210" s="455"/>
      <c r="K210" s="455"/>
      <c r="L210" s="455"/>
      <c r="M210" s="1404" t="str">
        <f>+IFERROR(VLOOKUP(G210,'S1&amp;2 Lists'!$C$4:$G$200,3,FALSE),"-")</f>
        <v>-</v>
      </c>
      <c r="N210" s="1404" t="str">
        <f t="shared" si="3"/>
        <v>-</v>
      </c>
      <c r="P210" s="1405">
        <f>ROUND(IF(L210='S1&amp;2 Lists'!$CV$3,K210,IF(L210='S1&amp;2 Lists'!$CV$4,K210/'S1&amp;2 Lists'!$CQ$6,0)),3)</f>
        <v>0</v>
      </c>
      <c r="Q210" s="10" t="s">
        <v>12</v>
      </c>
    </row>
    <row r="211" spans="1:17" s="651" customFormat="1">
      <c r="A211" s="455"/>
      <c r="B211" s="455"/>
      <c r="C211" s="652"/>
      <c r="D211" s="455"/>
      <c r="E211" s="653"/>
      <c r="F211" s="455"/>
      <c r="G211" s="647"/>
      <c r="H211" s="455"/>
      <c r="I211" s="653"/>
      <c r="J211" s="455"/>
      <c r="K211" s="455"/>
      <c r="L211" s="455"/>
      <c r="M211" s="1404" t="str">
        <f>+IFERROR(VLOOKUP(G211,'S1&amp;2 Lists'!$C$4:$G$200,3,FALSE),"-")</f>
        <v>-</v>
      </c>
      <c r="N211" s="1404" t="str">
        <f t="shared" si="3"/>
        <v>-</v>
      </c>
      <c r="P211" s="1405">
        <f>ROUND(IF(L211='S1&amp;2 Lists'!$CV$3,K211,IF(L211='S1&amp;2 Lists'!$CV$4,K211/'S1&amp;2 Lists'!$CQ$6,0)),3)</f>
        <v>0</v>
      </c>
      <c r="Q211" s="10" t="s">
        <v>12</v>
      </c>
    </row>
    <row r="212" spans="1:17" s="651" customFormat="1">
      <c r="A212" s="455"/>
      <c r="B212" s="455"/>
      <c r="C212" s="652"/>
      <c r="D212" s="455"/>
      <c r="E212" s="653"/>
      <c r="F212" s="455"/>
      <c r="G212" s="647"/>
      <c r="H212" s="455"/>
      <c r="I212" s="653"/>
      <c r="J212" s="455"/>
      <c r="K212" s="455"/>
      <c r="L212" s="455"/>
      <c r="M212" s="1404" t="str">
        <f>+IFERROR(VLOOKUP(G212,'S1&amp;2 Lists'!$C$4:$G$200,3,FALSE),"-")</f>
        <v>-</v>
      </c>
      <c r="N212" s="1404" t="str">
        <f t="shared" si="3"/>
        <v>-</v>
      </c>
      <c r="P212" s="1405">
        <f>ROUND(IF(L212='S1&amp;2 Lists'!$CV$3,K212,IF(L212='S1&amp;2 Lists'!$CV$4,K212/'S1&amp;2 Lists'!$CQ$6,0)),3)</f>
        <v>0</v>
      </c>
      <c r="Q212" s="10" t="s">
        <v>12</v>
      </c>
    </row>
    <row r="213" spans="1:17" s="651" customFormat="1">
      <c r="A213" s="455"/>
      <c r="B213" s="455"/>
      <c r="C213" s="652"/>
      <c r="D213" s="455"/>
      <c r="E213" s="653"/>
      <c r="F213" s="455"/>
      <c r="G213" s="647"/>
      <c r="H213" s="455"/>
      <c r="I213" s="653"/>
      <c r="J213" s="455"/>
      <c r="K213" s="455"/>
      <c r="L213" s="455"/>
      <c r="M213" s="1404" t="str">
        <f>+IFERROR(VLOOKUP(G213,'S1&amp;2 Lists'!$C$4:$G$200,3,FALSE),"-")</f>
        <v>-</v>
      </c>
      <c r="N213" s="1404" t="str">
        <f t="shared" si="3"/>
        <v>-</v>
      </c>
      <c r="P213" s="1405">
        <f>ROUND(IF(L213='S1&amp;2 Lists'!$CV$3,K213,IF(L213='S1&amp;2 Lists'!$CV$4,K213/'S1&amp;2 Lists'!$CQ$6,0)),3)</f>
        <v>0</v>
      </c>
      <c r="Q213" s="10" t="s">
        <v>12</v>
      </c>
    </row>
    <row r="214" spans="1:17" s="651" customFormat="1">
      <c r="A214" s="455"/>
      <c r="B214" s="455"/>
      <c r="C214" s="652"/>
      <c r="D214" s="455"/>
      <c r="E214" s="653"/>
      <c r="F214" s="455"/>
      <c r="G214" s="647"/>
      <c r="H214" s="455"/>
      <c r="I214" s="653"/>
      <c r="J214" s="455"/>
      <c r="K214" s="455"/>
      <c r="L214" s="455"/>
      <c r="M214" s="1404" t="str">
        <f>+IFERROR(VLOOKUP(G214,'S1&amp;2 Lists'!$C$4:$G$200,3,FALSE),"-")</f>
        <v>-</v>
      </c>
      <c r="N214" s="1404" t="str">
        <f t="shared" si="3"/>
        <v>-</v>
      </c>
      <c r="P214" s="1405">
        <f>ROUND(IF(L214='S1&amp;2 Lists'!$CV$3,K214,IF(L214='S1&amp;2 Lists'!$CV$4,K214/'S1&amp;2 Lists'!$CQ$6,0)),3)</f>
        <v>0</v>
      </c>
      <c r="Q214" s="10" t="s">
        <v>12</v>
      </c>
    </row>
    <row r="215" spans="1:17" s="651" customFormat="1">
      <c r="A215" s="455"/>
      <c r="B215" s="455"/>
      <c r="C215" s="652"/>
      <c r="D215" s="455"/>
      <c r="E215" s="653"/>
      <c r="F215" s="455"/>
      <c r="G215" s="647"/>
      <c r="H215" s="455"/>
      <c r="I215" s="653"/>
      <c r="J215" s="455"/>
      <c r="K215" s="455"/>
      <c r="L215" s="455"/>
      <c r="M215" s="1404" t="str">
        <f>+IFERROR(VLOOKUP(G215,'S1&amp;2 Lists'!$C$4:$G$200,3,FALSE),"-")</f>
        <v>-</v>
      </c>
      <c r="N215" s="1404" t="str">
        <f t="shared" si="3"/>
        <v>-</v>
      </c>
      <c r="P215" s="1405">
        <f>ROUND(IF(L215='S1&amp;2 Lists'!$CV$3,K215,IF(L215='S1&amp;2 Lists'!$CV$4,K215/'S1&amp;2 Lists'!$CQ$6,0)),3)</f>
        <v>0</v>
      </c>
      <c r="Q215" s="10" t="s">
        <v>12</v>
      </c>
    </row>
    <row r="216" spans="1:17" s="651" customFormat="1">
      <c r="A216" s="455"/>
      <c r="B216" s="455"/>
      <c r="C216" s="652"/>
      <c r="D216" s="455"/>
      <c r="E216" s="653"/>
      <c r="F216" s="455"/>
      <c r="G216" s="647"/>
      <c r="H216" s="455"/>
      <c r="I216" s="653"/>
      <c r="J216" s="455"/>
      <c r="K216" s="455"/>
      <c r="L216" s="455"/>
      <c r="M216" s="1404" t="str">
        <f>+IFERROR(VLOOKUP(G216,'S1&amp;2 Lists'!$C$4:$G$200,3,FALSE),"-")</f>
        <v>-</v>
      </c>
      <c r="N216" s="1404" t="str">
        <f t="shared" si="3"/>
        <v>-</v>
      </c>
      <c r="P216" s="1405">
        <f>ROUND(IF(L216='S1&amp;2 Lists'!$CV$3,K216,IF(L216='S1&amp;2 Lists'!$CV$4,K216/'S1&amp;2 Lists'!$CQ$6,0)),3)</f>
        <v>0</v>
      </c>
      <c r="Q216" s="10" t="s">
        <v>12</v>
      </c>
    </row>
    <row r="217" spans="1:17" s="651" customFormat="1">
      <c r="A217" s="455"/>
      <c r="B217" s="455"/>
      <c r="C217" s="652"/>
      <c r="D217" s="455"/>
      <c r="E217" s="653"/>
      <c r="F217" s="455"/>
      <c r="G217" s="647"/>
      <c r="H217" s="455"/>
      <c r="I217" s="653"/>
      <c r="J217" s="455"/>
      <c r="K217" s="455"/>
      <c r="L217" s="455"/>
      <c r="M217" s="1404" t="str">
        <f>+IFERROR(VLOOKUP(G217,'S1&amp;2 Lists'!$C$4:$G$200,3,FALSE),"-")</f>
        <v>-</v>
      </c>
      <c r="N217" s="1404" t="str">
        <f t="shared" si="3"/>
        <v>-</v>
      </c>
      <c r="P217" s="1405">
        <f>ROUND(IF(L217='S1&amp;2 Lists'!$CV$3,K217,IF(L217='S1&amp;2 Lists'!$CV$4,K217/'S1&amp;2 Lists'!$CQ$6,0)),3)</f>
        <v>0</v>
      </c>
      <c r="Q217" s="10" t="s">
        <v>12</v>
      </c>
    </row>
    <row r="218" spans="1:17" s="651" customFormat="1">
      <c r="A218" s="455"/>
      <c r="B218" s="455"/>
      <c r="C218" s="652"/>
      <c r="D218" s="455"/>
      <c r="E218" s="653"/>
      <c r="F218" s="455"/>
      <c r="G218" s="647"/>
      <c r="H218" s="455"/>
      <c r="I218" s="653"/>
      <c r="J218" s="455"/>
      <c r="K218" s="455"/>
      <c r="L218" s="455"/>
      <c r="M218" s="1404" t="str">
        <f>+IFERROR(VLOOKUP(G218,'S1&amp;2 Lists'!$C$4:$G$200,3,FALSE),"-")</f>
        <v>-</v>
      </c>
      <c r="N218" s="1404" t="str">
        <f t="shared" si="3"/>
        <v>-</v>
      </c>
      <c r="P218" s="1405">
        <f>ROUND(IF(L218='S1&amp;2 Lists'!$CV$3,K218,IF(L218='S1&amp;2 Lists'!$CV$4,K218/'S1&amp;2 Lists'!$CQ$6,0)),3)</f>
        <v>0</v>
      </c>
      <c r="Q218" s="10" t="s">
        <v>12</v>
      </c>
    </row>
    <row r="219" spans="1:17" s="651" customFormat="1">
      <c r="A219" s="455"/>
      <c r="B219" s="455"/>
      <c r="C219" s="652"/>
      <c r="D219" s="455"/>
      <c r="E219" s="653"/>
      <c r="F219" s="455"/>
      <c r="G219" s="647"/>
      <c r="H219" s="455"/>
      <c r="I219" s="653"/>
      <c r="J219" s="455"/>
      <c r="K219" s="455"/>
      <c r="L219" s="455"/>
      <c r="M219" s="1404" t="str">
        <f>+IFERROR(VLOOKUP(G219,'S1&amp;2 Lists'!$C$4:$G$200,3,FALSE),"-")</f>
        <v>-</v>
      </c>
      <c r="N219" s="1404" t="str">
        <f t="shared" si="3"/>
        <v>-</v>
      </c>
      <c r="P219" s="1405">
        <f>ROUND(IF(L219='S1&amp;2 Lists'!$CV$3,K219,IF(L219='S1&amp;2 Lists'!$CV$4,K219/'S1&amp;2 Lists'!$CQ$6,0)),3)</f>
        <v>0</v>
      </c>
      <c r="Q219" s="10" t="s">
        <v>12</v>
      </c>
    </row>
    <row r="220" spans="1:17" s="651" customFormat="1">
      <c r="A220" s="455"/>
      <c r="B220" s="455"/>
      <c r="C220" s="652"/>
      <c r="D220" s="455"/>
      <c r="E220" s="653"/>
      <c r="F220" s="455"/>
      <c r="G220" s="647"/>
      <c r="H220" s="455"/>
      <c r="I220" s="653"/>
      <c r="J220" s="455"/>
      <c r="K220" s="455"/>
      <c r="L220" s="455"/>
      <c r="M220" s="1404" t="str">
        <f>+IFERROR(VLOOKUP(G220,'S1&amp;2 Lists'!$C$4:$G$200,3,FALSE),"-")</f>
        <v>-</v>
      </c>
      <c r="N220" s="1404" t="str">
        <f t="shared" si="3"/>
        <v>-</v>
      </c>
      <c r="P220" s="1405">
        <f>ROUND(IF(L220='S1&amp;2 Lists'!$CV$3,K220,IF(L220='S1&amp;2 Lists'!$CV$4,K220/'S1&amp;2 Lists'!$CQ$6,0)),3)</f>
        <v>0</v>
      </c>
      <c r="Q220" s="10" t="s">
        <v>12</v>
      </c>
    </row>
    <row r="221" spans="1:17" s="651" customFormat="1">
      <c r="A221" s="455"/>
      <c r="B221" s="455"/>
      <c r="C221" s="652"/>
      <c r="D221" s="455"/>
      <c r="E221" s="653"/>
      <c r="F221" s="455"/>
      <c r="G221" s="647"/>
      <c r="H221" s="455"/>
      <c r="I221" s="653"/>
      <c r="J221" s="455"/>
      <c r="K221" s="455"/>
      <c r="L221" s="455"/>
      <c r="M221" s="1404" t="str">
        <f>+IFERROR(VLOOKUP(G221,'S1&amp;2 Lists'!$C$4:$G$200,3,FALSE),"-")</f>
        <v>-</v>
      </c>
      <c r="N221" s="1404" t="str">
        <f t="shared" si="3"/>
        <v>-</v>
      </c>
      <c r="P221" s="1405">
        <f>ROUND(IF(L221='S1&amp;2 Lists'!$CV$3,K221,IF(L221='S1&amp;2 Lists'!$CV$4,K221/'S1&amp;2 Lists'!$CQ$6,0)),3)</f>
        <v>0</v>
      </c>
      <c r="Q221" s="10" t="s">
        <v>12</v>
      </c>
    </row>
    <row r="222" spans="1:17" s="651" customFormat="1">
      <c r="A222" s="455"/>
      <c r="B222" s="455"/>
      <c r="C222" s="652"/>
      <c r="D222" s="455"/>
      <c r="E222" s="653"/>
      <c r="F222" s="455"/>
      <c r="G222" s="647"/>
      <c r="H222" s="455"/>
      <c r="I222" s="653"/>
      <c r="J222" s="455"/>
      <c r="K222" s="455"/>
      <c r="L222" s="455"/>
      <c r="M222" s="1404" t="str">
        <f>+IFERROR(VLOOKUP(G222,'S1&amp;2 Lists'!$C$4:$G$200,3,FALSE),"-")</f>
        <v>-</v>
      </c>
      <c r="N222" s="1404" t="str">
        <f t="shared" si="3"/>
        <v>-</v>
      </c>
      <c r="P222" s="1405">
        <f>ROUND(IF(L222='S1&amp;2 Lists'!$CV$3,K222,IF(L222='S1&amp;2 Lists'!$CV$4,K222/'S1&amp;2 Lists'!$CQ$6,0)),3)</f>
        <v>0</v>
      </c>
      <c r="Q222" s="10" t="s">
        <v>12</v>
      </c>
    </row>
    <row r="223" spans="1:17" s="651" customFormat="1">
      <c r="A223" s="455"/>
      <c r="B223" s="455"/>
      <c r="C223" s="652"/>
      <c r="D223" s="455"/>
      <c r="E223" s="653"/>
      <c r="F223" s="455"/>
      <c r="G223" s="647"/>
      <c r="H223" s="455"/>
      <c r="I223" s="653"/>
      <c r="J223" s="455"/>
      <c r="K223" s="455"/>
      <c r="L223" s="455"/>
      <c r="M223" s="1404" t="str">
        <f>+IFERROR(VLOOKUP(G223,'S1&amp;2 Lists'!$C$4:$G$200,3,FALSE),"-")</f>
        <v>-</v>
      </c>
      <c r="N223" s="1404" t="str">
        <f t="shared" si="3"/>
        <v>-</v>
      </c>
      <c r="P223" s="1405">
        <f>ROUND(IF(L223='S1&amp;2 Lists'!$CV$3,K223,IF(L223='S1&amp;2 Lists'!$CV$4,K223/'S1&amp;2 Lists'!$CQ$6,0)),3)</f>
        <v>0</v>
      </c>
      <c r="Q223" s="10" t="s">
        <v>12</v>
      </c>
    </row>
    <row r="224" spans="1:17" s="651" customFormat="1">
      <c r="A224" s="455"/>
      <c r="B224" s="455"/>
      <c r="C224" s="652"/>
      <c r="D224" s="455"/>
      <c r="E224" s="653"/>
      <c r="F224" s="455"/>
      <c r="G224" s="647"/>
      <c r="H224" s="455"/>
      <c r="I224" s="653"/>
      <c r="J224" s="455"/>
      <c r="K224" s="455"/>
      <c r="L224" s="455"/>
      <c r="M224" s="1404" t="str">
        <f>+IFERROR(VLOOKUP(G224,'S1&amp;2 Lists'!$C$4:$G$200,3,FALSE),"-")</f>
        <v>-</v>
      </c>
      <c r="N224" s="1404" t="str">
        <f t="shared" si="3"/>
        <v>-</v>
      </c>
      <c r="P224" s="1405">
        <f>ROUND(IF(L224='S1&amp;2 Lists'!$CV$3,K224,IF(L224='S1&amp;2 Lists'!$CV$4,K224/'S1&amp;2 Lists'!$CQ$6,0)),3)</f>
        <v>0</v>
      </c>
      <c r="Q224" s="10" t="s">
        <v>12</v>
      </c>
    </row>
    <row r="225" spans="1:17" s="651" customFormat="1">
      <c r="A225" s="455"/>
      <c r="B225" s="455"/>
      <c r="C225" s="652"/>
      <c r="D225" s="455"/>
      <c r="E225" s="653"/>
      <c r="F225" s="455"/>
      <c r="G225" s="647"/>
      <c r="H225" s="455"/>
      <c r="I225" s="653"/>
      <c r="J225" s="455"/>
      <c r="K225" s="455"/>
      <c r="L225" s="455"/>
      <c r="M225" s="1404" t="str">
        <f>+IFERROR(VLOOKUP(G225,'S1&amp;2 Lists'!$C$4:$G$200,3,FALSE),"-")</f>
        <v>-</v>
      </c>
      <c r="N225" s="1404" t="str">
        <f t="shared" si="3"/>
        <v>-</v>
      </c>
      <c r="P225" s="1405">
        <f>ROUND(IF(L225='S1&amp;2 Lists'!$CV$3,K225,IF(L225='S1&amp;2 Lists'!$CV$4,K225/'S1&amp;2 Lists'!$CQ$6,0)),3)</f>
        <v>0</v>
      </c>
      <c r="Q225" s="10" t="s">
        <v>12</v>
      </c>
    </row>
    <row r="226" spans="1:17" s="651" customFormat="1">
      <c r="A226" s="455"/>
      <c r="B226" s="455"/>
      <c r="C226" s="652"/>
      <c r="D226" s="455"/>
      <c r="E226" s="653"/>
      <c r="F226" s="455"/>
      <c r="G226" s="647"/>
      <c r="H226" s="455"/>
      <c r="I226" s="653"/>
      <c r="J226" s="455"/>
      <c r="K226" s="455"/>
      <c r="L226" s="455"/>
      <c r="M226" s="1404" t="str">
        <f>+IFERROR(VLOOKUP(G226,'S1&amp;2 Lists'!$C$4:$G$200,3,FALSE),"-")</f>
        <v>-</v>
      </c>
      <c r="N226" s="1404" t="str">
        <f t="shared" si="3"/>
        <v>-</v>
      </c>
      <c r="P226" s="1405">
        <f>ROUND(IF(L226='S1&amp;2 Lists'!$CV$3,K226,IF(L226='S1&amp;2 Lists'!$CV$4,K226/'S1&amp;2 Lists'!$CQ$6,0)),3)</f>
        <v>0</v>
      </c>
      <c r="Q226" s="10" t="s">
        <v>12</v>
      </c>
    </row>
    <row r="227" spans="1:17" s="651" customFormat="1">
      <c r="A227" s="455"/>
      <c r="B227" s="455"/>
      <c r="C227" s="652"/>
      <c r="D227" s="455"/>
      <c r="E227" s="653"/>
      <c r="F227" s="455"/>
      <c r="G227" s="647"/>
      <c r="H227" s="455"/>
      <c r="I227" s="653"/>
      <c r="J227" s="455"/>
      <c r="K227" s="455"/>
      <c r="L227" s="455"/>
      <c r="M227" s="1404" t="str">
        <f>+IFERROR(VLOOKUP(G227,'S1&amp;2 Lists'!$C$4:$G$200,3,FALSE),"-")</f>
        <v>-</v>
      </c>
      <c r="N227" s="1404" t="str">
        <f t="shared" si="3"/>
        <v>-</v>
      </c>
      <c r="P227" s="1405">
        <f>ROUND(IF(L227='S1&amp;2 Lists'!$CV$3,K227,IF(L227='S1&amp;2 Lists'!$CV$4,K227/'S1&amp;2 Lists'!$CQ$6,0)),3)</f>
        <v>0</v>
      </c>
      <c r="Q227" s="10" t="s">
        <v>12</v>
      </c>
    </row>
    <row r="228" spans="1:17" s="651" customFormat="1">
      <c r="A228" s="455"/>
      <c r="B228" s="455"/>
      <c r="C228" s="652"/>
      <c r="D228" s="455"/>
      <c r="E228" s="653"/>
      <c r="F228" s="455"/>
      <c r="G228" s="647"/>
      <c r="H228" s="455"/>
      <c r="I228" s="653"/>
      <c r="J228" s="455"/>
      <c r="K228" s="455"/>
      <c r="L228" s="455"/>
      <c r="M228" s="1404" t="str">
        <f>+IFERROR(VLOOKUP(G228,'S1&amp;2 Lists'!$C$4:$G$200,3,FALSE),"-")</f>
        <v>-</v>
      </c>
      <c r="N228" s="1404" t="str">
        <f t="shared" si="3"/>
        <v>-</v>
      </c>
      <c r="P228" s="1405">
        <f>ROUND(IF(L228='S1&amp;2 Lists'!$CV$3,K228,IF(L228='S1&amp;2 Lists'!$CV$4,K228/'S1&amp;2 Lists'!$CQ$6,0)),3)</f>
        <v>0</v>
      </c>
      <c r="Q228" s="10" t="s">
        <v>12</v>
      </c>
    </row>
    <row r="229" spans="1:17" s="651" customFormat="1">
      <c r="A229" s="455"/>
      <c r="B229" s="455"/>
      <c r="C229" s="652"/>
      <c r="D229" s="455"/>
      <c r="E229" s="653"/>
      <c r="F229" s="455"/>
      <c r="G229" s="647"/>
      <c r="H229" s="455"/>
      <c r="I229" s="653"/>
      <c r="J229" s="455"/>
      <c r="K229" s="455"/>
      <c r="L229" s="455"/>
      <c r="M229" s="1404" t="str">
        <f>+IFERROR(VLOOKUP(G229,'S1&amp;2 Lists'!$C$4:$G$200,3,FALSE),"-")</f>
        <v>-</v>
      </c>
      <c r="N229" s="1404" t="str">
        <f t="shared" si="3"/>
        <v>-</v>
      </c>
      <c r="P229" s="1405">
        <f>ROUND(IF(L229='S1&amp;2 Lists'!$CV$3,K229,IF(L229='S1&amp;2 Lists'!$CV$4,K229/'S1&amp;2 Lists'!$CQ$6,0)),3)</f>
        <v>0</v>
      </c>
      <c r="Q229" s="10" t="s">
        <v>12</v>
      </c>
    </row>
    <row r="230" spans="1:17" s="651" customFormat="1">
      <c r="A230" s="455"/>
      <c r="B230" s="455"/>
      <c r="C230" s="652"/>
      <c r="D230" s="455"/>
      <c r="E230" s="653"/>
      <c r="F230" s="455"/>
      <c r="G230" s="647"/>
      <c r="H230" s="455"/>
      <c r="I230" s="653"/>
      <c r="J230" s="455"/>
      <c r="K230" s="455"/>
      <c r="L230" s="455"/>
      <c r="M230" s="1404" t="str">
        <f>+IFERROR(VLOOKUP(G230,'S1&amp;2 Lists'!$C$4:$G$200,3,FALSE),"-")</f>
        <v>-</v>
      </c>
      <c r="N230" s="1404" t="str">
        <f t="shared" si="3"/>
        <v>-</v>
      </c>
      <c r="P230" s="1405">
        <f>ROUND(IF(L230='S1&amp;2 Lists'!$CV$3,K230,IF(L230='S1&amp;2 Lists'!$CV$4,K230/'S1&amp;2 Lists'!$CQ$6,0)),3)</f>
        <v>0</v>
      </c>
      <c r="Q230" s="10" t="s">
        <v>12</v>
      </c>
    </row>
    <row r="231" spans="1:17" s="651" customFormat="1">
      <c r="A231" s="455"/>
      <c r="B231" s="455"/>
      <c r="C231" s="652"/>
      <c r="D231" s="455"/>
      <c r="E231" s="653"/>
      <c r="F231" s="455"/>
      <c r="G231" s="647"/>
      <c r="H231" s="455"/>
      <c r="I231" s="653"/>
      <c r="J231" s="455"/>
      <c r="K231" s="455"/>
      <c r="L231" s="455"/>
      <c r="M231" s="1404" t="str">
        <f>+IFERROR(VLOOKUP(G231,'S1&amp;2 Lists'!$C$4:$G$200,3,FALSE),"-")</f>
        <v>-</v>
      </c>
      <c r="N231" s="1404" t="str">
        <f t="shared" si="3"/>
        <v>-</v>
      </c>
      <c r="P231" s="1405">
        <f>ROUND(IF(L231='S1&amp;2 Lists'!$CV$3,K231,IF(L231='S1&amp;2 Lists'!$CV$4,K231/'S1&amp;2 Lists'!$CQ$6,0)),3)</f>
        <v>0</v>
      </c>
      <c r="Q231" s="10" t="s">
        <v>12</v>
      </c>
    </row>
    <row r="232" spans="1:17" s="651" customFormat="1">
      <c r="A232" s="455"/>
      <c r="B232" s="455"/>
      <c r="C232" s="652"/>
      <c r="D232" s="455"/>
      <c r="E232" s="653"/>
      <c r="F232" s="455"/>
      <c r="G232" s="647"/>
      <c r="H232" s="455"/>
      <c r="I232" s="653"/>
      <c r="J232" s="455"/>
      <c r="K232" s="455"/>
      <c r="L232" s="455"/>
      <c r="M232" s="1404" t="str">
        <f>+IFERROR(VLOOKUP(G232,'S1&amp;2 Lists'!$C$4:$G$200,3,FALSE),"-")</f>
        <v>-</v>
      </c>
      <c r="N232" s="1404" t="str">
        <f t="shared" si="3"/>
        <v>-</v>
      </c>
      <c r="P232" s="1405">
        <f>ROUND(IF(L232='S1&amp;2 Lists'!$CV$3,K232,IF(L232='S1&amp;2 Lists'!$CV$4,K232/'S1&amp;2 Lists'!$CQ$6,0)),3)</f>
        <v>0</v>
      </c>
      <c r="Q232" s="10" t="s">
        <v>12</v>
      </c>
    </row>
    <row r="233" spans="1:17" s="651" customFormat="1">
      <c r="A233" s="455"/>
      <c r="B233" s="455"/>
      <c r="C233" s="652"/>
      <c r="D233" s="455"/>
      <c r="E233" s="653"/>
      <c r="F233" s="455"/>
      <c r="G233" s="647"/>
      <c r="H233" s="455"/>
      <c r="I233" s="653"/>
      <c r="J233" s="455"/>
      <c r="K233" s="455"/>
      <c r="L233" s="455"/>
      <c r="M233" s="1404" t="str">
        <f>+IFERROR(VLOOKUP(G233,'S1&amp;2 Lists'!$C$4:$G$200,3,FALSE),"-")</f>
        <v>-</v>
      </c>
      <c r="N233" s="1404" t="str">
        <f t="shared" si="3"/>
        <v>-</v>
      </c>
      <c r="P233" s="1405">
        <f>ROUND(IF(L233='S1&amp;2 Lists'!$CV$3,K233,IF(L233='S1&amp;2 Lists'!$CV$4,K233/'S1&amp;2 Lists'!$CQ$6,0)),3)</f>
        <v>0</v>
      </c>
      <c r="Q233" s="10" t="s">
        <v>12</v>
      </c>
    </row>
    <row r="234" spans="1:17" s="651" customFormat="1">
      <c r="A234" s="455"/>
      <c r="B234" s="455"/>
      <c r="C234" s="652"/>
      <c r="D234" s="455"/>
      <c r="E234" s="653"/>
      <c r="F234" s="455"/>
      <c r="G234" s="647"/>
      <c r="H234" s="455"/>
      <c r="I234" s="653"/>
      <c r="J234" s="455"/>
      <c r="K234" s="455"/>
      <c r="L234" s="455"/>
      <c r="M234" s="1404" t="str">
        <f>+IFERROR(VLOOKUP(G234,'S1&amp;2 Lists'!$C$4:$G$200,3,FALSE),"-")</f>
        <v>-</v>
      </c>
      <c r="N234" s="1404" t="str">
        <f t="shared" si="3"/>
        <v>-</v>
      </c>
      <c r="P234" s="1405">
        <f>ROUND(IF(L234='S1&amp;2 Lists'!$CV$3,K234,IF(L234='S1&amp;2 Lists'!$CV$4,K234/'S1&amp;2 Lists'!$CQ$6,0)),3)</f>
        <v>0</v>
      </c>
      <c r="Q234" s="10" t="s">
        <v>12</v>
      </c>
    </row>
    <row r="235" spans="1:17" s="651" customFormat="1">
      <c r="A235" s="455"/>
      <c r="B235" s="455"/>
      <c r="C235" s="652"/>
      <c r="D235" s="455"/>
      <c r="E235" s="653"/>
      <c r="F235" s="455"/>
      <c r="G235" s="647"/>
      <c r="H235" s="455"/>
      <c r="I235" s="653"/>
      <c r="J235" s="455"/>
      <c r="K235" s="455"/>
      <c r="L235" s="455"/>
      <c r="M235" s="1404" t="str">
        <f>+IFERROR(VLOOKUP(G235,'S1&amp;2 Lists'!$C$4:$G$200,3,FALSE),"-")</f>
        <v>-</v>
      </c>
      <c r="N235" s="1404" t="str">
        <f t="shared" si="3"/>
        <v>-</v>
      </c>
      <c r="P235" s="1405">
        <f>ROUND(IF(L235='S1&amp;2 Lists'!$CV$3,K235,IF(L235='S1&amp;2 Lists'!$CV$4,K235/'S1&amp;2 Lists'!$CQ$6,0)),3)</f>
        <v>0</v>
      </c>
      <c r="Q235" s="10" t="s">
        <v>12</v>
      </c>
    </row>
    <row r="236" spans="1:17" s="651" customFormat="1">
      <c r="A236" s="455"/>
      <c r="B236" s="455"/>
      <c r="C236" s="652"/>
      <c r="D236" s="455"/>
      <c r="E236" s="653"/>
      <c r="F236" s="455"/>
      <c r="G236" s="647"/>
      <c r="H236" s="455"/>
      <c r="I236" s="653"/>
      <c r="J236" s="455"/>
      <c r="K236" s="455"/>
      <c r="L236" s="455"/>
      <c r="M236" s="1404" t="str">
        <f>+IFERROR(VLOOKUP(G236,'S1&amp;2 Lists'!$C$4:$G$200,3,FALSE),"-")</f>
        <v>-</v>
      </c>
      <c r="N236" s="1404" t="str">
        <f t="shared" si="3"/>
        <v>-</v>
      </c>
      <c r="P236" s="1405">
        <f>ROUND(IF(L236='S1&amp;2 Lists'!$CV$3,K236,IF(L236='S1&amp;2 Lists'!$CV$4,K236/'S1&amp;2 Lists'!$CQ$6,0)),3)</f>
        <v>0</v>
      </c>
      <c r="Q236" s="10" t="s">
        <v>12</v>
      </c>
    </row>
    <row r="237" spans="1:17" s="651" customFormat="1">
      <c r="A237" s="455"/>
      <c r="B237" s="455"/>
      <c r="C237" s="652"/>
      <c r="D237" s="455"/>
      <c r="E237" s="653"/>
      <c r="F237" s="455"/>
      <c r="G237" s="647"/>
      <c r="H237" s="455"/>
      <c r="I237" s="653"/>
      <c r="J237" s="455"/>
      <c r="K237" s="455"/>
      <c r="L237" s="455"/>
      <c r="M237" s="1404" t="str">
        <f>+IFERROR(VLOOKUP(G237,'S1&amp;2 Lists'!$C$4:$G$200,3,FALSE),"-")</f>
        <v>-</v>
      </c>
      <c r="N237" s="1404" t="str">
        <f t="shared" si="3"/>
        <v>-</v>
      </c>
      <c r="P237" s="1405">
        <f>ROUND(IF(L237='S1&amp;2 Lists'!$CV$3,K237,IF(L237='S1&amp;2 Lists'!$CV$4,K237/'S1&amp;2 Lists'!$CQ$6,0)),3)</f>
        <v>0</v>
      </c>
      <c r="Q237" s="10" t="s">
        <v>12</v>
      </c>
    </row>
    <row r="238" spans="1:17" s="651" customFormat="1">
      <c r="A238" s="455"/>
      <c r="B238" s="455"/>
      <c r="C238" s="652"/>
      <c r="D238" s="455"/>
      <c r="E238" s="653"/>
      <c r="F238" s="455"/>
      <c r="G238" s="647"/>
      <c r="H238" s="455"/>
      <c r="I238" s="653"/>
      <c r="J238" s="455"/>
      <c r="K238" s="455"/>
      <c r="L238" s="455"/>
      <c r="M238" s="1404" t="str">
        <f>+IFERROR(VLOOKUP(G238,'S1&amp;2 Lists'!$C$4:$G$200,3,FALSE),"-")</f>
        <v>-</v>
      </c>
      <c r="N238" s="1404" t="str">
        <f t="shared" si="3"/>
        <v>-</v>
      </c>
      <c r="P238" s="1405">
        <f>ROUND(IF(L238='S1&amp;2 Lists'!$CV$3,K238,IF(L238='S1&amp;2 Lists'!$CV$4,K238/'S1&amp;2 Lists'!$CQ$6,0)),3)</f>
        <v>0</v>
      </c>
      <c r="Q238" s="10" t="s">
        <v>12</v>
      </c>
    </row>
    <row r="239" spans="1:17" s="651" customFormat="1">
      <c r="A239" s="455"/>
      <c r="B239" s="455"/>
      <c r="C239" s="652"/>
      <c r="D239" s="455"/>
      <c r="E239" s="653"/>
      <c r="F239" s="455"/>
      <c r="G239" s="647"/>
      <c r="H239" s="455"/>
      <c r="I239" s="653"/>
      <c r="J239" s="455"/>
      <c r="K239" s="455"/>
      <c r="L239" s="455"/>
      <c r="M239" s="1404" t="str">
        <f>+IFERROR(VLOOKUP(G239,'S1&amp;2 Lists'!$C$4:$G$200,3,FALSE),"-")</f>
        <v>-</v>
      </c>
      <c r="N239" s="1404" t="str">
        <f t="shared" si="3"/>
        <v>-</v>
      </c>
      <c r="P239" s="1405">
        <f>ROUND(IF(L239='S1&amp;2 Lists'!$CV$3,K239,IF(L239='S1&amp;2 Lists'!$CV$4,K239/'S1&amp;2 Lists'!$CQ$6,0)),3)</f>
        <v>0</v>
      </c>
      <c r="Q239" s="10" t="s">
        <v>12</v>
      </c>
    </row>
    <row r="240" spans="1:17" s="651" customFormat="1">
      <c r="A240" s="455"/>
      <c r="B240" s="455"/>
      <c r="C240" s="652"/>
      <c r="D240" s="455"/>
      <c r="E240" s="653"/>
      <c r="F240" s="455"/>
      <c r="G240" s="647"/>
      <c r="H240" s="455"/>
      <c r="I240" s="653"/>
      <c r="J240" s="455"/>
      <c r="K240" s="455"/>
      <c r="L240" s="455"/>
      <c r="M240" s="1404" t="str">
        <f>+IFERROR(VLOOKUP(G240,'S1&amp;2 Lists'!$C$4:$G$200,3,FALSE),"-")</f>
        <v>-</v>
      </c>
      <c r="N240" s="1404" t="str">
        <f t="shared" si="3"/>
        <v>-</v>
      </c>
      <c r="P240" s="1405">
        <f>ROUND(IF(L240='S1&amp;2 Lists'!$CV$3,K240,IF(L240='S1&amp;2 Lists'!$CV$4,K240/'S1&amp;2 Lists'!$CQ$6,0)),3)</f>
        <v>0</v>
      </c>
      <c r="Q240" s="10" t="s">
        <v>12</v>
      </c>
    </row>
    <row r="241" spans="1:17" s="651" customFormat="1">
      <c r="A241" s="455"/>
      <c r="B241" s="455"/>
      <c r="C241" s="652"/>
      <c r="D241" s="455"/>
      <c r="E241" s="653"/>
      <c r="F241" s="455"/>
      <c r="G241" s="647"/>
      <c r="H241" s="455"/>
      <c r="I241" s="653"/>
      <c r="J241" s="455"/>
      <c r="K241" s="455"/>
      <c r="L241" s="455"/>
      <c r="M241" s="1404" t="str">
        <f>+IFERROR(VLOOKUP(G241,'S1&amp;2 Lists'!$C$4:$G$200,3,FALSE),"-")</f>
        <v>-</v>
      </c>
      <c r="N241" s="1404" t="str">
        <f t="shared" si="3"/>
        <v>-</v>
      </c>
      <c r="P241" s="1405">
        <f>ROUND(IF(L241='S1&amp;2 Lists'!$CV$3,K241,IF(L241='S1&amp;2 Lists'!$CV$4,K241/'S1&amp;2 Lists'!$CQ$6,0)),3)</f>
        <v>0</v>
      </c>
      <c r="Q241" s="10" t="s">
        <v>12</v>
      </c>
    </row>
    <row r="242" spans="1:17" s="651" customFormat="1">
      <c r="A242" s="455"/>
      <c r="B242" s="455"/>
      <c r="C242" s="652"/>
      <c r="D242" s="455"/>
      <c r="E242" s="653"/>
      <c r="F242" s="455"/>
      <c r="G242" s="647"/>
      <c r="H242" s="455"/>
      <c r="I242" s="653"/>
      <c r="J242" s="455"/>
      <c r="K242" s="455"/>
      <c r="L242" s="455"/>
      <c r="M242" s="1404" t="str">
        <f>+IFERROR(VLOOKUP(G242,'S1&amp;2 Lists'!$C$4:$G$200,3,FALSE),"-")</f>
        <v>-</v>
      </c>
      <c r="N242" s="1404" t="str">
        <f t="shared" si="3"/>
        <v>-</v>
      </c>
      <c r="P242" s="1405">
        <f>ROUND(IF(L242='S1&amp;2 Lists'!$CV$3,K242,IF(L242='S1&amp;2 Lists'!$CV$4,K242/'S1&amp;2 Lists'!$CQ$6,0)),3)</f>
        <v>0</v>
      </c>
      <c r="Q242" s="10" t="s">
        <v>12</v>
      </c>
    </row>
    <row r="243" spans="1:17" s="651" customFormat="1">
      <c r="A243" s="455"/>
      <c r="B243" s="455"/>
      <c r="C243" s="652"/>
      <c r="D243" s="455"/>
      <c r="E243" s="653"/>
      <c r="F243" s="455"/>
      <c r="G243" s="647"/>
      <c r="H243" s="455"/>
      <c r="I243" s="653"/>
      <c r="J243" s="455"/>
      <c r="K243" s="455"/>
      <c r="L243" s="455"/>
      <c r="M243" s="1404" t="str">
        <f>+IFERROR(VLOOKUP(G243,'S1&amp;2 Lists'!$C$4:$G$200,3,FALSE),"-")</f>
        <v>-</v>
      </c>
      <c r="N243" s="1404" t="str">
        <f t="shared" si="3"/>
        <v>-</v>
      </c>
      <c r="P243" s="1405">
        <f>ROUND(IF(L243='S1&amp;2 Lists'!$CV$3,K243,IF(L243='S1&amp;2 Lists'!$CV$4,K243/'S1&amp;2 Lists'!$CQ$6,0)),3)</f>
        <v>0</v>
      </c>
      <c r="Q243" s="10" t="s">
        <v>12</v>
      </c>
    </row>
    <row r="244" spans="1:17" s="651" customFormat="1">
      <c r="A244" s="455"/>
      <c r="B244" s="455"/>
      <c r="C244" s="652"/>
      <c r="D244" s="455"/>
      <c r="E244" s="653"/>
      <c r="F244" s="455"/>
      <c r="G244" s="647"/>
      <c r="H244" s="455"/>
      <c r="I244" s="653"/>
      <c r="J244" s="455"/>
      <c r="K244" s="455"/>
      <c r="L244" s="455"/>
      <c r="M244" s="1404" t="str">
        <f>+IFERROR(VLOOKUP(G244,'S1&amp;2 Lists'!$C$4:$G$200,3,FALSE),"-")</f>
        <v>-</v>
      </c>
      <c r="N244" s="1404" t="str">
        <f t="shared" si="3"/>
        <v>-</v>
      </c>
      <c r="P244" s="1405">
        <f>ROUND(IF(L244='S1&amp;2 Lists'!$CV$3,K244,IF(L244='S1&amp;2 Lists'!$CV$4,K244/'S1&amp;2 Lists'!$CQ$6,0)),3)</f>
        <v>0</v>
      </c>
      <c r="Q244" s="10" t="s">
        <v>12</v>
      </c>
    </row>
    <row r="245" spans="1:17" s="651" customFormat="1">
      <c r="A245" s="455"/>
      <c r="B245" s="455"/>
      <c r="C245" s="652"/>
      <c r="D245" s="455"/>
      <c r="E245" s="653"/>
      <c r="F245" s="455"/>
      <c r="G245" s="647"/>
      <c r="H245" s="455"/>
      <c r="I245" s="653"/>
      <c r="J245" s="455"/>
      <c r="K245" s="455"/>
      <c r="L245" s="455"/>
      <c r="M245" s="1404" t="str">
        <f>+IFERROR(VLOOKUP(G245,'S1&amp;2 Lists'!$C$4:$G$200,3,FALSE),"-")</f>
        <v>-</v>
      </c>
      <c r="N245" s="1404" t="str">
        <f t="shared" si="3"/>
        <v>-</v>
      </c>
      <c r="P245" s="1405">
        <f>ROUND(IF(L245='S1&amp;2 Lists'!$CV$3,K245,IF(L245='S1&amp;2 Lists'!$CV$4,K245/'S1&amp;2 Lists'!$CQ$6,0)),3)</f>
        <v>0</v>
      </c>
      <c r="Q245" s="10" t="s">
        <v>12</v>
      </c>
    </row>
    <row r="246" spans="1:17" s="651" customFormat="1">
      <c r="A246" s="455"/>
      <c r="B246" s="455"/>
      <c r="C246" s="652"/>
      <c r="D246" s="455"/>
      <c r="E246" s="653"/>
      <c r="F246" s="455"/>
      <c r="G246" s="647"/>
      <c r="H246" s="455"/>
      <c r="I246" s="653"/>
      <c r="J246" s="455"/>
      <c r="K246" s="455"/>
      <c r="L246" s="455"/>
      <c r="M246" s="1404" t="str">
        <f>+IFERROR(VLOOKUP(G246,'S1&amp;2 Lists'!$C$4:$G$200,3,FALSE),"-")</f>
        <v>-</v>
      </c>
      <c r="N246" s="1404" t="str">
        <f t="shared" si="3"/>
        <v>-</v>
      </c>
      <c r="P246" s="1405">
        <f>ROUND(IF(L246='S1&amp;2 Lists'!$CV$3,K246,IF(L246='S1&amp;2 Lists'!$CV$4,K246/'S1&amp;2 Lists'!$CQ$6,0)),3)</f>
        <v>0</v>
      </c>
      <c r="Q246" s="10" t="s">
        <v>12</v>
      </c>
    </row>
    <row r="247" spans="1:17" s="651" customFormat="1">
      <c r="A247" s="455"/>
      <c r="B247" s="455"/>
      <c r="C247" s="652"/>
      <c r="D247" s="455"/>
      <c r="E247" s="653"/>
      <c r="F247" s="455"/>
      <c r="G247" s="647"/>
      <c r="H247" s="455"/>
      <c r="I247" s="653"/>
      <c r="J247" s="455"/>
      <c r="K247" s="455"/>
      <c r="L247" s="455"/>
      <c r="M247" s="1404" t="str">
        <f>+IFERROR(VLOOKUP(G247,'S1&amp;2 Lists'!$C$4:$G$200,3,FALSE),"-")</f>
        <v>-</v>
      </c>
      <c r="N247" s="1404" t="str">
        <f t="shared" si="3"/>
        <v>-</v>
      </c>
      <c r="P247" s="1405">
        <f>ROUND(IF(L247='S1&amp;2 Lists'!$CV$3,K247,IF(L247='S1&amp;2 Lists'!$CV$4,K247/'S1&amp;2 Lists'!$CQ$6,0)),3)</f>
        <v>0</v>
      </c>
      <c r="Q247" s="10" t="s">
        <v>12</v>
      </c>
    </row>
    <row r="248" spans="1:17" s="651" customFormat="1">
      <c r="A248" s="455"/>
      <c r="B248" s="455"/>
      <c r="C248" s="652"/>
      <c r="D248" s="455"/>
      <c r="E248" s="653"/>
      <c r="F248" s="455"/>
      <c r="G248" s="647"/>
      <c r="H248" s="455"/>
      <c r="I248" s="653"/>
      <c r="J248" s="455"/>
      <c r="K248" s="455"/>
      <c r="L248" s="455"/>
      <c r="M248" s="1404" t="str">
        <f>+IFERROR(VLOOKUP(G248,'S1&amp;2 Lists'!$C$4:$G$200,3,FALSE),"-")</f>
        <v>-</v>
      </c>
      <c r="N248" s="1404" t="str">
        <f t="shared" si="3"/>
        <v>-</v>
      </c>
      <c r="P248" s="1405">
        <f>ROUND(IF(L248='S1&amp;2 Lists'!$CV$3,K248,IF(L248='S1&amp;2 Lists'!$CV$4,K248/'S1&amp;2 Lists'!$CQ$6,0)),3)</f>
        <v>0</v>
      </c>
      <c r="Q248" s="10" t="s">
        <v>12</v>
      </c>
    </row>
    <row r="249" spans="1:17" s="651" customFormat="1">
      <c r="A249" s="455"/>
      <c r="B249" s="455"/>
      <c r="C249" s="652"/>
      <c r="D249" s="455"/>
      <c r="E249" s="653"/>
      <c r="F249" s="455"/>
      <c r="G249" s="647"/>
      <c r="H249" s="455"/>
      <c r="I249" s="653"/>
      <c r="J249" s="455"/>
      <c r="K249" s="455"/>
      <c r="L249" s="455"/>
      <c r="M249" s="1404" t="str">
        <f>+IFERROR(VLOOKUP(G249,'S1&amp;2 Lists'!$C$4:$G$200,3,FALSE),"-")</f>
        <v>-</v>
      </c>
      <c r="N249" s="1404" t="str">
        <f t="shared" si="3"/>
        <v>-</v>
      </c>
      <c r="P249" s="1405">
        <f>ROUND(IF(L249='S1&amp;2 Lists'!$CV$3,K249,IF(L249='S1&amp;2 Lists'!$CV$4,K249/'S1&amp;2 Lists'!$CQ$6,0)),3)</f>
        <v>0</v>
      </c>
      <c r="Q249" s="10" t="s">
        <v>12</v>
      </c>
    </row>
    <row r="250" spans="1:17" s="651" customFormat="1">
      <c r="A250" s="455"/>
      <c r="B250" s="455"/>
      <c r="C250" s="652"/>
      <c r="D250" s="455"/>
      <c r="E250" s="653"/>
      <c r="F250" s="455"/>
      <c r="G250" s="647"/>
      <c r="H250" s="455"/>
      <c r="I250" s="653"/>
      <c r="J250" s="455"/>
      <c r="K250" s="455"/>
      <c r="L250" s="455"/>
      <c r="M250" s="1404" t="str">
        <f>+IFERROR(VLOOKUP(G250,'S1&amp;2 Lists'!$C$4:$G$200,3,FALSE),"-")</f>
        <v>-</v>
      </c>
      <c r="N250" s="1404" t="str">
        <f t="shared" si="3"/>
        <v>-</v>
      </c>
      <c r="P250" s="1405">
        <f>ROUND(IF(L250='S1&amp;2 Lists'!$CV$3,K250,IF(L250='S1&amp;2 Lists'!$CV$4,K250/'S1&amp;2 Lists'!$CQ$6,0)),3)</f>
        <v>0</v>
      </c>
      <c r="Q250" s="10" t="s">
        <v>12</v>
      </c>
    </row>
    <row r="251" spans="1:17" s="651" customFormat="1">
      <c r="A251" s="455"/>
      <c r="B251" s="455"/>
      <c r="C251" s="652"/>
      <c r="D251" s="455"/>
      <c r="E251" s="653"/>
      <c r="F251" s="455"/>
      <c r="G251" s="647"/>
      <c r="H251" s="455"/>
      <c r="I251" s="653"/>
      <c r="J251" s="455"/>
      <c r="K251" s="455"/>
      <c r="L251" s="455"/>
      <c r="M251" s="1404" t="str">
        <f>+IFERROR(VLOOKUP(G251,'S1&amp;2 Lists'!$C$4:$G$200,3,FALSE),"-")</f>
        <v>-</v>
      </c>
      <c r="N251" s="1404" t="str">
        <f t="shared" si="3"/>
        <v>-</v>
      </c>
      <c r="P251" s="1405">
        <f>ROUND(IF(L251='S1&amp;2 Lists'!$CV$3,K251,IF(L251='S1&amp;2 Lists'!$CV$4,K251/'S1&amp;2 Lists'!$CQ$6,0)),3)</f>
        <v>0</v>
      </c>
      <c r="Q251" s="10" t="s">
        <v>12</v>
      </c>
    </row>
    <row r="252" spans="1:17" s="651" customFormat="1">
      <c r="A252" s="455"/>
      <c r="B252" s="455"/>
      <c r="C252" s="652"/>
      <c r="D252" s="455"/>
      <c r="E252" s="653"/>
      <c r="F252" s="455"/>
      <c r="G252" s="647"/>
      <c r="H252" s="455"/>
      <c r="I252" s="653"/>
      <c r="J252" s="455"/>
      <c r="K252" s="455"/>
      <c r="L252" s="455"/>
      <c r="M252" s="1404" t="str">
        <f>+IFERROR(VLOOKUP(G252,'S1&amp;2 Lists'!$C$4:$G$200,3,FALSE),"-")</f>
        <v>-</v>
      </c>
      <c r="N252" s="1404" t="str">
        <f t="shared" si="3"/>
        <v>-</v>
      </c>
      <c r="P252" s="1405">
        <f>ROUND(IF(L252='S1&amp;2 Lists'!$CV$3,K252,IF(L252='S1&amp;2 Lists'!$CV$4,K252/'S1&amp;2 Lists'!$CQ$6,0)),3)</f>
        <v>0</v>
      </c>
      <c r="Q252" s="10" t="s">
        <v>12</v>
      </c>
    </row>
    <row r="253" spans="1:17" s="651" customFormat="1">
      <c r="A253" s="455"/>
      <c r="B253" s="455"/>
      <c r="C253" s="652"/>
      <c r="D253" s="455"/>
      <c r="E253" s="653"/>
      <c r="F253" s="455"/>
      <c r="G253" s="647"/>
      <c r="H253" s="455"/>
      <c r="I253" s="653"/>
      <c r="J253" s="455"/>
      <c r="K253" s="455"/>
      <c r="L253" s="455"/>
      <c r="M253" s="1404" t="str">
        <f>+IFERROR(VLOOKUP(G253,'S1&amp;2 Lists'!$C$4:$G$200,3,FALSE),"-")</f>
        <v>-</v>
      </c>
      <c r="N253" s="1404" t="str">
        <f t="shared" si="3"/>
        <v>-</v>
      </c>
      <c r="P253" s="1405">
        <f>ROUND(IF(L253='S1&amp;2 Lists'!$CV$3,K253,IF(L253='S1&amp;2 Lists'!$CV$4,K253/'S1&amp;2 Lists'!$CQ$6,0)),3)</f>
        <v>0</v>
      </c>
      <c r="Q253" s="10" t="s">
        <v>12</v>
      </c>
    </row>
    <row r="254" spans="1:17" s="651" customFormat="1">
      <c r="A254" s="455"/>
      <c r="B254" s="455"/>
      <c r="C254" s="652"/>
      <c r="D254" s="455"/>
      <c r="E254" s="653"/>
      <c r="F254" s="455"/>
      <c r="G254" s="647"/>
      <c r="H254" s="455"/>
      <c r="I254" s="653"/>
      <c r="J254" s="455"/>
      <c r="K254" s="455"/>
      <c r="L254" s="455"/>
      <c r="M254" s="1404" t="str">
        <f>+IFERROR(VLOOKUP(G254,'S1&amp;2 Lists'!$C$4:$G$200,3,FALSE),"-")</f>
        <v>-</v>
      </c>
      <c r="N254" s="1404" t="str">
        <f t="shared" si="3"/>
        <v>-</v>
      </c>
      <c r="P254" s="1405">
        <f>ROUND(IF(L254='S1&amp;2 Lists'!$CV$3,K254,IF(L254='S1&amp;2 Lists'!$CV$4,K254/'S1&amp;2 Lists'!$CQ$6,0)),3)</f>
        <v>0</v>
      </c>
      <c r="Q254" s="10" t="s">
        <v>12</v>
      </c>
    </row>
    <row r="255" spans="1:17" s="651" customFormat="1">
      <c r="A255" s="455"/>
      <c r="B255" s="455"/>
      <c r="C255" s="652"/>
      <c r="D255" s="455"/>
      <c r="E255" s="653"/>
      <c r="F255" s="455"/>
      <c r="G255" s="647"/>
      <c r="H255" s="455"/>
      <c r="I255" s="653"/>
      <c r="J255" s="455"/>
      <c r="K255" s="455"/>
      <c r="L255" s="455"/>
      <c r="M255" s="1404" t="str">
        <f>+IFERROR(VLOOKUP(G255,'S1&amp;2 Lists'!$C$4:$G$200,3,FALSE),"-")</f>
        <v>-</v>
      </c>
      <c r="N255" s="1404" t="str">
        <f t="shared" si="3"/>
        <v>-</v>
      </c>
      <c r="P255" s="1405">
        <f>ROUND(IF(L255='S1&amp;2 Lists'!$CV$3,K255,IF(L255='S1&amp;2 Lists'!$CV$4,K255/'S1&amp;2 Lists'!$CQ$6,0)),3)</f>
        <v>0</v>
      </c>
      <c r="Q255" s="10" t="s">
        <v>12</v>
      </c>
    </row>
    <row r="256" spans="1:17" s="651" customFormat="1">
      <c r="A256" s="455"/>
      <c r="B256" s="455"/>
      <c r="C256" s="652"/>
      <c r="D256" s="455"/>
      <c r="E256" s="653"/>
      <c r="F256" s="455"/>
      <c r="G256" s="647"/>
      <c r="H256" s="455"/>
      <c r="I256" s="653"/>
      <c r="J256" s="455"/>
      <c r="K256" s="455"/>
      <c r="L256" s="455"/>
      <c r="M256" s="1404" t="str">
        <f>+IFERROR(VLOOKUP(G256,'S1&amp;2 Lists'!$C$4:$G$200,3,FALSE),"-")</f>
        <v>-</v>
      </c>
      <c r="N256" s="1404" t="str">
        <f t="shared" si="3"/>
        <v>-</v>
      </c>
      <c r="P256" s="1405">
        <f>ROUND(IF(L256='S1&amp;2 Lists'!$CV$3,K256,IF(L256='S1&amp;2 Lists'!$CV$4,K256/'S1&amp;2 Lists'!$CQ$6,0)),3)</f>
        <v>0</v>
      </c>
      <c r="Q256" s="10" t="s">
        <v>12</v>
      </c>
    </row>
    <row r="257" spans="1:17" s="651" customFormat="1">
      <c r="A257" s="455"/>
      <c r="B257" s="455"/>
      <c r="C257" s="652"/>
      <c r="D257" s="455"/>
      <c r="E257" s="653"/>
      <c r="F257" s="455"/>
      <c r="G257" s="647"/>
      <c r="H257" s="455"/>
      <c r="I257" s="653"/>
      <c r="J257" s="455"/>
      <c r="K257" s="455"/>
      <c r="L257" s="455"/>
      <c r="M257" s="1404" t="str">
        <f>+IFERROR(VLOOKUP(G257,'S1&amp;2 Lists'!$C$4:$G$200,3,FALSE),"-")</f>
        <v>-</v>
      </c>
      <c r="N257" s="1404" t="str">
        <f t="shared" si="3"/>
        <v>-</v>
      </c>
      <c r="P257" s="1405">
        <f>ROUND(IF(L257='S1&amp;2 Lists'!$CV$3,K257,IF(L257='S1&amp;2 Lists'!$CV$4,K257/'S1&amp;2 Lists'!$CQ$6,0)),3)</f>
        <v>0</v>
      </c>
      <c r="Q257" s="10" t="s">
        <v>12</v>
      </c>
    </row>
    <row r="258" spans="1:17" s="651" customFormat="1">
      <c r="A258" s="455"/>
      <c r="B258" s="455"/>
      <c r="C258" s="652"/>
      <c r="D258" s="455"/>
      <c r="E258" s="653"/>
      <c r="F258" s="455"/>
      <c r="G258" s="647"/>
      <c r="H258" s="455"/>
      <c r="I258" s="653"/>
      <c r="J258" s="455"/>
      <c r="K258" s="455"/>
      <c r="L258" s="455"/>
      <c r="M258" s="1404" t="str">
        <f>+IFERROR(VLOOKUP(G258,'S1&amp;2 Lists'!$C$4:$G$200,3,FALSE),"-")</f>
        <v>-</v>
      </c>
      <c r="N258" s="1404" t="str">
        <f t="shared" si="3"/>
        <v>-</v>
      </c>
      <c r="P258" s="1405">
        <f>ROUND(IF(L258='S1&amp;2 Lists'!$CV$3,K258,IF(L258='S1&amp;2 Lists'!$CV$4,K258/'S1&amp;2 Lists'!$CQ$6,0)),3)</f>
        <v>0</v>
      </c>
      <c r="Q258" s="10" t="s">
        <v>12</v>
      </c>
    </row>
    <row r="259" spans="1:17" s="651" customFormat="1">
      <c r="A259" s="455"/>
      <c r="B259" s="455"/>
      <c r="C259" s="652"/>
      <c r="D259" s="455"/>
      <c r="E259" s="653"/>
      <c r="F259" s="455"/>
      <c r="G259" s="647"/>
      <c r="H259" s="455"/>
      <c r="I259" s="653"/>
      <c r="J259" s="455"/>
      <c r="K259" s="455"/>
      <c r="L259" s="455"/>
      <c r="M259" s="1404" t="str">
        <f>+IFERROR(VLOOKUP(G259,'S1&amp;2 Lists'!$C$4:$G$200,3,FALSE),"-")</f>
        <v>-</v>
      </c>
      <c r="N259" s="1404" t="str">
        <f t="shared" si="3"/>
        <v>-</v>
      </c>
      <c r="P259" s="1405">
        <f>ROUND(IF(L259='S1&amp;2 Lists'!$CV$3,K259,IF(L259='S1&amp;2 Lists'!$CV$4,K259/'S1&amp;2 Lists'!$CQ$6,0)),3)</f>
        <v>0</v>
      </c>
      <c r="Q259" s="10" t="s">
        <v>12</v>
      </c>
    </row>
    <row r="260" spans="1:17" s="651" customFormat="1">
      <c r="A260" s="455"/>
      <c r="B260" s="455"/>
      <c r="C260" s="652"/>
      <c r="D260" s="455"/>
      <c r="E260" s="653"/>
      <c r="F260" s="455"/>
      <c r="G260" s="647"/>
      <c r="H260" s="455"/>
      <c r="I260" s="653"/>
      <c r="J260" s="455"/>
      <c r="K260" s="455"/>
      <c r="L260" s="455"/>
      <c r="M260" s="1404" t="str">
        <f>+IFERROR(VLOOKUP(G260,'S1&amp;2 Lists'!$C$4:$G$200,3,FALSE),"-")</f>
        <v>-</v>
      </c>
      <c r="N260" s="1404" t="str">
        <f t="shared" si="3"/>
        <v>-</v>
      </c>
      <c r="P260" s="1405">
        <f>ROUND(IF(L260='S1&amp;2 Lists'!$CV$3,K260,IF(L260='S1&amp;2 Lists'!$CV$4,K260/'S1&amp;2 Lists'!$CQ$6,0)),3)</f>
        <v>0</v>
      </c>
      <c r="Q260" s="10" t="s">
        <v>12</v>
      </c>
    </row>
    <row r="261" spans="1:17" s="651" customFormat="1">
      <c r="A261" s="455"/>
      <c r="B261" s="455"/>
      <c r="C261" s="652"/>
      <c r="D261" s="455"/>
      <c r="E261" s="653"/>
      <c r="F261" s="455"/>
      <c r="G261" s="647"/>
      <c r="H261" s="455"/>
      <c r="I261" s="653"/>
      <c r="J261" s="455"/>
      <c r="K261" s="455"/>
      <c r="L261" s="455"/>
      <c r="M261" s="1404" t="str">
        <f>+IFERROR(VLOOKUP(G261,'S1&amp;2 Lists'!$C$4:$G$200,3,FALSE),"-")</f>
        <v>-</v>
      </c>
      <c r="N261" s="1404" t="str">
        <f t="shared" si="3"/>
        <v>-</v>
      </c>
      <c r="P261" s="1405">
        <f>ROUND(IF(L261='S1&amp;2 Lists'!$CV$3,K261,IF(L261='S1&amp;2 Lists'!$CV$4,K261/'S1&amp;2 Lists'!$CQ$6,0)),3)</f>
        <v>0</v>
      </c>
      <c r="Q261" s="10" t="s">
        <v>12</v>
      </c>
    </row>
    <row r="262" spans="1:17" s="651" customFormat="1">
      <c r="A262" s="455"/>
      <c r="B262" s="455"/>
      <c r="C262" s="652"/>
      <c r="D262" s="455"/>
      <c r="E262" s="653"/>
      <c r="F262" s="455"/>
      <c r="G262" s="647"/>
      <c r="H262" s="455"/>
      <c r="I262" s="653"/>
      <c r="J262" s="455"/>
      <c r="K262" s="455"/>
      <c r="L262" s="455"/>
      <c r="M262" s="1404" t="str">
        <f>+IFERROR(VLOOKUP(G262,'S1&amp;2 Lists'!$C$4:$G$200,3,FALSE),"-")</f>
        <v>-</v>
      </c>
      <c r="N262" s="1404" t="str">
        <f t="shared" si="3"/>
        <v>-</v>
      </c>
      <c r="P262" s="1405">
        <f>ROUND(IF(L262='S1&amp;2 Lists'!$CV$3,K262,IF(L262='S1&amp;2 Lists'!$CV$4,K262/'S1&amp;2 Lists'!$CQ$6,0)),3)</f>
        <v>0</v>
      </c>
      <c r="Q262" s="10" t="s">
        <v>12</v>
      </c>
    </row>
    <row r="263" spans="1:17" s="651" customFormat="1">
      <c r="A263" s="455"/>
      <c r="B263" s="455"/>
      <c r="C263" s="652"/>
      <c r="D263" s="455"/>
      <c r="E263" s="653"/>
      <c r="F263" s="455"/>
      <c r="G263" s="647"/>
      <c r="H263" s="455"/>
      <c r="I263" s="653"/>
      <c r="J263" s="455"/>
      <c r="K263" s="455"/>
      <c r="L263" s="455"/>
      <c r="M263" s="1404" t="str">
        <f>+IFERROR(VLOOKUP(G263,'S1&amp;2 Lists'!$C$4:$G$200,3,FALSE),"-")</f>
        <v>-</v>
      </c>
      <c r="N263" s="1404" t="str">
        <f t="shared" si="3"/>
        <v>-</v>
      </c>
      <c r="P263" s="1405">
        <f>ROUND(IF(L263='S1&amp;2 Lists'!$CV$3,K263,IF(L263='S1&amp;2 Lists'!$CV$4,K263/'S1&amp;2 Lists'!$CQ$6,0)),3)</f>
        <v>0</v>
      </c>
      <c r="Q263" s="10" t="s">
        <v>12</v>
      </c>
    </row>
    <row r="264" spans="1:17" s="651" customFormat="1">
      <c r="A264" s="455"/>
      <c r="B264" s="455"/>
      <c r="C264" s="652"/>
      <c r="D264" s="455"/>
      <c r="E264" s="653"/>
      <c r="F264" s="455"/>
      <c r="G264" s="647"/>
      <c r="H264" s="455"/>
      <c r="I264" s="653"/>
      <c r="J264" s="455"/>
      <c r="K264" s="455"/>
      <c r="L264" s="455"/>
      <c r="M264" s="1404" t="str">
        <f>+IFERROR(VLOOKUP(G264,'S1&amp;2 Lists'!$C$4:$G$200,3,FALSE),"-")</f>
        <v>-</v>
      </c>
      <c r="N264" s="1404" t="str">
        <f t="shared" si="3"/>
        <v>-</v>
      </c>
      <c r="P264" s="1405">
        <f>ROUND(IF(L264='S1&amp;2 Lists'!$CV$3,K264,IF(L264='S1&amp;2 Lists'!$CV$4,K264/'S1&amp;2 Lists'!$CQ$6,0)),3)</f>
        <v>0</v>
      </c>
      <c r="Q264" s="10" t="s">
        <v>12</v>
      </c>
    </row>
    <row r="265" spans="1:17" s="651" customFormat="1">
      <c r="A265" s="455"/>
      <c r="B265" s="455"/>
      <c r="C265" s="652"/>
      <c r="D265" s="455"/>
      <c r="E265" s="653"/>
      <c r="F265" s="455"/>
      <c r="G265" s="647"/>
      <c r="H265" s="455"/>
      <c r="I265" s="653"/>
      <c r="J265" s="455"/>
      <c r="K265" s="455"/>
      <c r="L265" s="455"/>
      <c r="M265" s="1404" t="str">
        <f>+IFERROR(VLOOKUP(G265,'S1&amp;2 Lists'!$C$4:$G$200,3,FALSE),"-")</f>
        <v>-</v>
      </c>
      <c r="N265" s="1404" t="str">
        <f t="shared" si="3"/>
        <v>-</v>
      </c>
      <c r="P265" s="1405">
        <f>ROUND(IF(L265='S1&amp;2 Lists'!$CV$3,K265,IF(L265='S1&amp;2 Lists'!$CV$4,K265/'S1&amp;2 Lists'!$CQ$6,0)),3)</f>
        <v>0</v>
      </c>
      <c r="Q265" s="10" t="s">
        <v>12</v>
      </c>
    </row>
    <row r="266" spans="1:17" s="651" customFormat="1">
      <c r="A266" s="455"/>
      <c r="B266" s="455"/>
      <c r="C266" s="652"/>
      <c r="D266" s="455"/>
      <c r="E266" s="653"/>
      <c r="F266" s="455"/>
      <c r="G266" s="647"/>
      <c r="H266" s="455"/>
      <c r="I266" s="653"/>
      <c r="J266" s="455"/>
      <c r="K266" s="455"/>
      <c r="L266" s="455"/>
      <c r="M266" s="1404" t="str">
        <f>+IFERROR(VLOOKUP(G266,'S1&amp;2 Lists'!$C$4:$G$200,3,FALSE),"-")</f>
        <v>-</v>
      </c>
      <c r="N266" s="1404" t="str">
        <f t="shared" si="3"/>
        <v>-</v>
      </c>
      <c r="P266" s="1405">
        <f>ROUND(IF(L266='S1&amp;2 Lists'!$CV$3,K266,IF(L266='S1&amp;2 Lists'!$CV$4,K266/'S1&amp;2 Lists'!$CQ$6,0)),3)</f>
        <v>0</v>
      </c>
      <c r="Q266" s="10" t="s">
        <v>12</v>
      </c>
    </row>
    <row r="267" spans="1:17" s="651" customFormat="1">
      <c r="A267" s="455"/>
      <c r="B267" s="455"/>
      <c r="C267" s="652"/>
      <c r="D267" s="455"/>
      <c r="E267" s="653"/>
      <c r="F267" s="455"/>
      <c r="G267" s="647"/>
      <c r="H267" s="455"/>
      <c r="I267" s="653"/>
      <c r="J267" s="455"/>
      <c r="K267" s="455"/>
      <c r="L267" s="455"/>
      <c r="M267" s="1404" t="str">
        <f>+IFERROR(VLOOKUP(G267,'S1&amp;2 Lists'!$C$4:$G$200,3,FALSE),"-")</f>
        <v>-</v>
      </c>
      <c r="N267" s="1404" t="str">
        <f t="shared" ref="N267:N330" si="4">+IFERROR(P267*M267,"-")</f>
        <v>-</v>
      </c>
      <c r="P267" s="1405">
        <f>ROUND(IF(L267='S1&amp;2 Lists'!$CV$3,K267,IF(L267='S1&amp;2 Lists'!$CV$4,K267/'S1&amp;2 Lists'!$CQ$6,0)),3)</f>
        <v>0</v>
      </c>
      <c r="Q267" s="10" t="s">
        <v>12</v>
      </c>
    </row>
    <row r="268" spans="1:17" s="651" customFormat="1">
      <c r="A268" s="455"/>
      <c r="B268" s="455"/>
      <c r="C268" s="652"/>
      <c r="D268" s="455"/>
      <c r="E268" s="653"/>
      <c r="F268" s="455"/>
      <c r="G268" s="647"/>
      <c r="H268" s="455"/>
      <c r="I268" s="653"/>
      <c r="J268" s="455"/>
      <c r="K268" s="455"/>
      <c r="L268" s="455"/>
      <c r="M268" s="1404" t="str">
        <f>+IFERROR(VLOOKUP(G268,'S1&amp;2 Lists'!$C$4:$G$200,3,FALSE),"-")</f>
        <v>-</v>
      </c>
      <c r="N268" s="1404" t="str">
        <f t="shared" si="4"/>
        <v>-</v>
      </c>
      <c r="P268" s="1405">
        <f>ROUND(IF(L268='S1&amp;2 Lists'!$CV$3,K268,IF(L268='S1&amp;2 Lists'!$CV$4,K268/'S1&amp;2 Lists'!$CQ$6,0)),3)</f>
        <v>0</v>
      </c>
      <c r="Q268" s="10" t="s">
        <v>12</v>
      </c>
    </row>
    <row r="269" spans="1:17" s="651" customFormat="1">
      <c r="A269" s="455"/>
      <c r="B269" s="455"/>
      <c r="C269" s="652"/>
      <c r="D269" s="455"/>
      <c r="E269" s="653"/>
      <c r="F269" s="455"/>
      <c r="G269" s="647"/>
      <c r="H269" s="455"/>
      <c r="I269" s="653"/>
      <c r="J269" s="455"/>
      <c r="K269" s="455"/>
      <c r="L269" s="455"/>
      <c r="M269" s="1404" t="str">
        <f>+IFERROR(VLOOKUP(G269,'S1&amp;2 Lists'!$C$4:$G$200,3,FALSE),"-")</f>
        <v>-</v>
      </c>
      <c r="N269" s="1404" t="str">
        <f t="shared" si="4"/>
        <v>-</v>
      </c>
      <c r="P269" s="1405">
        <f>ROUND(IF(L269='S1&amp;2 Lists'!$CV$3,K269,IF(L269='S1&amp;2 Lists'!$CV$4,K269/'S1&amp;2 Lists'!$CQ$6,0)),3)</f>
        <v>0</v>
      </c>
      <c r="Q269" s="10" t="s">
        <v>12</v>
      </c>
    </row>
    <row r="270" spans="1:17" s="651" customFormat="1">
      <c r="A270" s="455"/>
      <c r="B270" s="455"/>
      <c r="C270" s="652"/>
      <c r="D270" s="455"/>
      <c r="E270" s="653"/>
      <c r="F270" s="455"/>
      <c r="G270" s="647"/>
      <c r="H270" s="455"/>
      <c r="I270" s="653"/>
      <c r="J270" s="455"/>
      <c r="K270" s="455"/>
      <c r="L270" s="455"/>
      <c r="M270" s="1404" t="str">
        <f>+IFERROR(VLOOKUP(G270,'S1&amp;2 Lists'!$C$4:$G$200,3,FALSE),"-")</f>
        <v>-</v>
      </c>
      <c r="N270" s="1404" t="str">
        <f t="shared" si="4"/>
        <v>-</v>
      </c>
      <c r="P270" s="1405">
        <f>ROUND(IF(L270='S1&amp;2 Lists'!$CV$3,K270,IF(L270='S1&amp;2 Lists'!$CV$4,K270/'S1&amp;2 Lists'!$CQ$6,0)),3)</f>
        <v>0</v>
      </c>
      <c r="Q270" s="10" t="s">
        <v>12</v>
      </c>
    </row>
    <row r="271" spans="1:17" s="651" customFormat="1">
      <c r="A271" s="455"/>
      <c r="B271" s="455"/>
      <c r="C271" s="652"/>
      <c r="D271" s="455"/>
      <c r="E271" s="653"/>
      <c r="F271" s="455"/>
      <c r="G271" s="647"/>
      <c r="H271" s="455"/>
      <c r="I271" s="653"/>
      <c r="J271" s="455"/>
      <c r="K271" s="455"/>
      <c r="L271" s="455"/>
      <c r="M271" s="1404" t="str">
        <f>+IFERROR(VLOOKUP(G271,'S1&amp;2 Lists'!$C$4:$G$200,3,FALSE),"-")</f>
        <v>-</v>
      </c>
      <c r="N271" s="1404" t="str">
        <f t="shared" si="4"/>
        <v>-</v>
      </c>
      <c r="P271" s="1405">
        <f>ROUND(IF(L271='S1&amp;2 Lists'!$CV$3,K271,IF(L271='S1&amp;2 Lists'!$CV$4,K271/'S1&amp;2 Lists'!$CQ$6,0)),3)</f>
        <v>0</v>
      </c>
      <c r="Q271" s="10" t="s">
        <v>12</v>
      </c>
    </row>
    <row r="272" spans="1:17" s="651" customFormat="1">
      <c r="A272" s="455"/>
      <c r="B272" s="455"/>
      <c r="C272" s="652"/>
      <c r="D272" s="455"/>
      <c r="E272" s="653"/>
      <c r="F272" s="455"/>
      <c r="G272" s="647"/>
      <c r="H272" s="455"/>
      <c r="I272" s="653"/>
      <c r="J272" s="455"/>
      <c r="K272" s="455"/>
      <c r="L272" s="455"/>
      <c r="M272" s="1404" t="str">
        <f>+IFERROR(VLOOKUP(G272,'S1&amp;2 Lists'!$C$4:$G$200,3,FALSE),"-")</f>
        <v>-</v>
      </c>
      <c r="N272" s="1404" t="str">
        <f t="shared" si="4"/>
        <v>-</v>
      </c>
      <c r="P272" s="1405">
        <f>ROUND(IF(L272='S1&amp;2 Lists'!$CV$3,K272,IF(L272='S1&amp;2 Lists'!$CV$4,K272/'S1&amp;2 Lists'!$CQ$6,0)),3)</f>
        <v>0</v>
      </c>
      <c r="Q272" s="10" t="s">
        <v>12</v>
      </c>
    </row>
    <row r="273" spans="1:17" s="651" customFormat="1">
      <c r="A273" s="455"/>
      <c r="B273" s="455"/>
      <c r="C273" s="652"/>
      <c r="D273" s="455"/>
      <c r="E273" s="653"/>
      <c r="F273" s="455"/>
      <c r="G273" s="647"/>
      <c r="H273" s="455"/>
      <c r="I273" s="653"/>
      <c r="J273" s="455"/>
      <c r="K273" s="455"/>
      <c r="L273" s="455"/>
      <c r="M273" s="1404" t="str">
        <f>+IFERROR(VLOOKUP(G273,'S1&amp;2 Lists'!$C$4:$G$200,3,FALSE),"-")</f>
        <v>-</v>
      </c>
      <c r="N273" s="1404" t="str">
        <f t="shared" si="4"/>
        <v>-</v>
      </c>
      <c r="P273" s="1405">
        <f>ROUND(IF(L273='S1&amp;2 Lists'!$CV$3,K273,IF(L273='S1&amp;2 Lists'!$CV$4,K273/'S1&amp;2 Lists'!$CQ$6,0)),3)</f>
        <v>0</v>
      </c>
      <c r="Q273" s="10" t="s">
        <v>12</v>
      </c>
    </row>
    <row r="274" spans="1:17" s="651" customFormat="1">
      <c r="A274" s="455"/>
      <c r="B274" s="455"/>
      <c r="C274" s="652"/>
      <c r="D274" s="455"/>
      <c r="E274" s="653"/>
      <c r="F274" s="455"/>
      <c r="G274" s="647"/>
      <c r="H274" s="455"/>
      <c r="I274" s="653"/>
      <c r="J274" s="455"/>
      <c r="K274" s="455"/>
      <c r="L274" s="455"/>
      <c r="M274" s="1404" t="str">
        <f>+IFERROR(VLOOKUP(G274,'S1&amp;2 Lists'!$C$4:$G$200,3,FALSE),"-")</f>
        <v>-</v>
      </c>
      <c r="N274" s="1404" t="str">
        <f t="shared" si="4"/>
        <v>-</v>
      </c>
      <c r="P274" s="1405">
        <f>ROUND(IF(L274='S1&amp;2 Lists'!$CV$3,K274,IF(L274='S1&amp;2 Lists'!$CV$4,K274/'S1&amp;2 Lists'!$CQ$6,0)),3)</f>
        <v>0</v>
      </c>
      <c r="Q274" s="10" t="s">
        <v>12</v>
      </c>
    </row>
    <row r="275" spans="1:17" s="651" customFormat="1">
      <c r="A275" s="455"/>
      <c r="B275" s="455"/>
      <c r="C275" s="652"/>
      <c r="D275" s="455"/>
      <c r="E275" s="653"/>
      <c r="F275" s="455"/>
      <c r="G275" s="647"/>
      <c r="H275" s="455"/>
      <c r="I275" s="653"/>
      <c r="J275" s="455"/>
      <c r="K275" s="455"/>
      <c r="L275" s="455"/>
      <c r="M275" s="1404" t="str">
        <f>+IFERROR(VLOOKUP(G275,'S1&amp;2 Lists'!$C$4:$G$200,3,FALSE),"-")</f>
        <v>-</v>
      </c>
      <c r="N275" s="1404" t="str">
        <f t="shared" si="4"/>
        <v>-</v>
      </c>
      <c r="P275" s="1405">
        <f>ROUND(IF(L275='S1&amp;2 Lists'!$CV$3,K275,IF(L275='S1&amp;2 Lists'!$CV$4,K275/'S1&amp;2 Lists'!$CQ$6,0)),3)</f>
        <v>0</v>
      </c>
      <c r="Q275" s="10" t="s">
        <v>12</v>
      </c>
    </row>
    <row r="276" spans="1:17" s="651" customFormat="1">
      <c r="A276" s="455"/>
      <c r="B276" s="455"/>
      <c r="C276" s="652"/>
      <c r="D276" s="455"/>
      <c r="E276" s="653"/>
      <c r="F276" s="455"/>
      <c r="G276" s="647"/>
      <c r="H276" s="455"/>
      <c r="I276" s="653"/>
      <c r="J276" s="455"/>
      <c r="K276" s="455"/>
      <c r="L276" s="455"/>
      <c r="M276" s="1404" t="str">
        <f>+IFERROR(VLOOKUP(G276,'S1&amp;2 Lists'!$C$4:$G$200,3,FALSE),"-")</f>
        <v>-</v>
      </c>
      <c r="N276" s="1404" t="str">
        <f t="shared" si="4"/>
        <v>-</v>
      </c>
      <c r="P276" s="1405">
        <f>ROUND(IF(L276='S1&amp;2 Lists'!$CV$3,K276,IF(L276='S1&amp;2 Lists'!$CV$4,K276/'S1&amp;2 Lists'!$CQ$6,0)),3)</f>
        <v>0</v>
      </c>
      <c r="Q276" s="10" t="s">
        <v>12</v>
      </c>
    </row>
    <row r="277" spans="1:17" s="651" customFormat="1">
      <c r="A277" s="455"/>
      <c r="B277" s="455"/>
      <c r="C277" s="652"/>
      <c r="D277" s="455"/>
      <c r="E277" s="653"/>
      <c r="F277" s="455"/>
      <c r="G277" s="647"/>
      <c r="H277" s="455"/>
      <c r="I277" s="653"/>
      <c r="J277" s="455"/>
      <c r="K277" s="455"/>
      <c r="L277" s="455"/>
      <c r="M277" s="1404" t="str">
        <f>+IFERROR(VLOOKUP(G277,'S1&amp;2 Lists'!$C$4:$G$200,3,FALSE),"-")</f>
        <v>-</v>
      </c>
      <c r="N277" s="1404" t="str">
        <f t="shared" si="4"/>
        <v>-</v>
      </c>
      <c r="P277" s="1405">
        <f>ROUND(IF(L277='S1&amp;2 Lists'!$CV$3,K277,IF(L277='S1&amp;2 Lists'!$CV$4,K277/'S1&amp;2 Lists'!$CQ$6,0)),3)</f>
        <v>0</v>
      </c>
      <c r="Q277" s="10" t="s">
        <v>12</v>
      </c>
    </row>
    <row r="278" spans="1:17" s="651" customFormat="1">
      <c r="A278" s="455"/>
      <c r="B278" s="455"/>
      <c r="C278" s="652"/>
      <c r="D278" s="455"/>
      <c r="E278" s="653"/>
      <c r="F278" s="455"/>
      <c r="G278" s="647"/>
      <c r="H278" s="455"/>
      <c r="I278" s="653"/>
      <c r="J278" s="455"/>
      <c r="K278" s="455"/>
      <c r="L278" s="455"/>
      <c r="M278" s="1404" t="str">
        <f>+IFERROR(VLOOKUP(G278,'S1&amp;2 Lists'!$C$4:$G$200,3,FALSE),"-")</f>
        <v>-</v>
      </c>
      <c r="N278" s="1404" t="str">
        <f t="shared" si="4"/>
        <v>-</v>
      </c>
      <c r="P278" s="1405">
        <f>ROUND(IF(L278='S1&amp;2 Lists'!$CV$3,K278,IF(L278='S1&amp;2 Lists'!$CV$4,K278/'S1&amp;2 Lists'!$CQ$6,0)),3)</f>
        <v>0</v>
      </c>
      <c r="Q278" s="10" t="s">
        <v>12</v>
      </c>
    </row>
    <row r="279" spans="1:17" s="651" customFormat="1">
      <c r="A279" s="455"/>
      <c r="B279" s="455"/>
      <c r="C279" s="652"/>
      <c r="D279" s="455"/>
      <c r="E279" s="653"/>
      <c r="F279" s="455"/>
      <c r="G279" s="647"/>
      <c r="H279" s="455"/>
      <c r="I279" s="653"/>
      <c r="J279" s="455"/>
      <c r="K279" s="455"/>
      <c r="L279" s="455"/>
      <c r="M279" s="1404" t="str">
        <f>+IFERROR(VLOOKUP(G279,'S1&amp;2 Lists'!$C$4:$G$200,3,FALSE),"-")</f>
        <v>-</v>
      </c>
      <c r="N279" s="1404" t="str">
        <f t="shared" si="4"/>
        <v>-</v>
      </c>
      <c r="P279" s="1405">
        <f>ROUND(IF(L279='S1&amp;2 Lists'!$CV$3,K279,IF(L279='S1&amp;2 Lists'!$CV$4,K279/'S1&amp;2 Lists'!$CQ$6,0)),3)</f>
        <v>0</v>
      </c>
      <c r="Q279" s="10" t="s">
        <v>12</v>
      </c>
    </row>
    <row r="280" spans="1:17" s="651" customFormat="1">
      <c r="A280" s="455"/>
      <c r="B280" s="455"/>
      <c r="C280" s="652"/>
      <c r="D280" s="455"/>
      <c r="E280" s="653"/>
      <c r="F280" s="455"/>
      <c r="G280" s="647"/>
      <c r="H280" s="455"/>
      <c r="I280" s="653"/>
      <c r="J280" s="455"/>
      <c r="K280" s="455"/>
      <c r="L280" s="455"/>
      <c r="M280" s="1404" t="str">
        <f>+IFERROR(VLOOKUP(G280,'S1&amp;2 Lists'!$C$4:$G$200,3,FALSE),"-")</f>
        <v>-</v>
      </c>
      <c r="N280" s="1404" t="str">
        <f t="shared" si="4"/>
        <v>-</v>
      </c>
      <c r="P280" s="1405">
        <f>ROUND(IF(L280='S1&amp;2 Lists'!$CV$3,K280,IF(L280='S1&amp;2 Lists'!$CV$4,K280/'S1&amp;2 Lists'!$CQ$6,0)),3)</f>
        <v>0</v>
      </c>
      <c r="Q280" s="10" t="s">
        <v>12</v>
      </c>
    </row>
    <row r="281" spans="1:17" s="651" customFormat="1">
      <c r="A281" s="455"/>
      <c r="B281" s="455"/>
      <c r="C281" s="652"/>
      <c r="D281" s="455"/>
      <c r="E281" s="653"/>
      <c r="F281" s="455"/>
      <c r="G281" s="647"/>
      <c r="H281" s="455"/>
      <c r="I281" s="653"/>
      <c r="J281" s="455"/>
      <c r="K281" s="455"/>
      <c r="L281" s="455"/>
      <c r="M281" s="1404" t="str">
        <f>+IFERROR(VLOOKUP(G281,'S1&amp;2 Lists'!$C$4:$G$200,3,FALSE),"-")</f>
        <v>-</v>
      </c>
      <c r="N281" s="1404" t="str">
        <f t="shared" si="4"/>
        <v>-</v>
      </c>
      <c r="P281" s="1405">
        <f>ROUND(IF(L281='S1&amp;2 Lists'!$CV$3,K281,IF(L281='S1&amp;2 Lists'!$CV$4,K281/'S1&amp;2 Lists'!$CQ$6,0)),3)</f>
        <v>0</v>
      </c>
      <c r="Q281" s="10" t="s">
        <v>12</v>
      </c>
    </row>
    <row r="282" spans="1:17" s="651" customFormat="1">
      <c r="A282" s="455"/>
      <c r="B282" s="455"/>
      <c r="C282" s="652"/>
      <c r="D282" s="455"/>
      <c r="E282" s="653"/>
      <c r="F282" s="455"/>
      <c r="G282" s="647"/>
      <c r="H282" s="455"/>
      <c r="I282" s="653"/>
      <c r="J282" s="455"/>
      <c r="K282" s="455"/>
      <c r="L282" s="455"/>
      <c r="M282" s="1404" t="str">
        <f>+IFERROR(VLOOKUP(G282,'S1&amp;2 Lists'!$C$4:$G$200,3,FALSE),"-")</f>
        <v>-</v>
      </c>
      <c r="N282" s="1404" t="str">
        <f t="shared" si="4"/>
        <v>-</v>
      </c>
      <c r="P282" s="1405">
        <f>ROUND(IF(L282='S1&amp;2 Lists'!$CV$3,K282,IF(L282='S1&amp;2 Lists'!$CV$4,K282/'S1&amp;2 Lists'!$CQ$6,0)),3)</f>
        <v>0</v>
      </c>
      <c r="Q282" s="10" t="s">
        <v>12</v>
      </c>
    </row>
    <row r="283" spans="1:17" s="651" customFormat="1">
      <c r="A283" s="455"/>
      <c r="B283" s="455"/>
      <c r="C283" s="652"/>
      <c r="D283" s="455"/>
      <c r="E283" s="653"/>
      <c r="F283" s="455"/>
      <c r="G283" s="647"/>
      <c r="H283" s="455"/>
      <c r="I283" s="653"/>
      <c r="J283" s="455"/>
      <c r="K283" s="455"/>
      <c r="L283" s="455"/>
      <c r="M283" s="1404" t="str">
        <f>+IFERROR(VLOOKUP(G283,'S1&amp;2 Lists'!$C$4:$G$200,3,FALSE),"-")</f>
        <v>-</v>
      </c>
      <c r="N283" s="1404" t="str">
        <f t="shared" si="4"/>
        <v>-</v>
      </c>
      <c r="P283" s="1405">
        <f>ROUND(IF(L283='S1&amp;2 Lists'!$CV$3,K283,IF(L283='S1&amp;2 Lists'!$CV$4,K283/'S1&amp;2 Lists'!$CQ$6,0)),3)</f>
        <v>0</v>
      </c>
      <c r="Q283" s="10" t="s">
        <v>12</v>
      </c>
    </row>
    <row r="284" spans="1:17" s="651" customFormat="1">
      <c r="A284" s="455"/>
      <c r="B284" s="455"/>
      <c r="C284" s="652"/>
      <c r="D284" s="455"/>
      <c r="E284" s="653"/>
      <c r="F284" s="455"/>
      <c r="G284" s="647"/>
      <c r="H284" s="455"/>
      <c r="I284" s="653"/>
      <c r="J284" s="455"/>
      <c r="K284" s="455"/>
      <c r="L284" s="455"/>
      <c r="M284" s="1404" t="str">
        <f>+IFERROR(VLOOKUP(G284,'S1&amp;2 Lists'!$C$4:$G$200,3,FALSE),"-")</f>
        <v>-</v>
      </c>
      <c r="N284" s="1404" t="str">
        <f t="shared" si="4"/>
        <v>-</v>
      </c>
      <c r="P284" s="1405">
        <f>ROUND(IF(L284='S1&amp;2 Lists'!$CV$3,K284,IF(L284='S1&amp;2 Lists'!$CV$4,K284/'S1&amp;2 Lists'!$CQ$6,0)),3)</f>
        <v>0</v>
      </c>
      <c r="Q284" s="10" t="s">
        <v>12</v>
      </c>
    </row>
    <row r="285" spans="1:17" s="651" customFormat="1">
      <c r="A285" s="455"/>
      <c r="B285" s="455"/>
      <c r="C285" s="652"/>
      <c r="D285" s="455"/>
      <c r="E285" s="653"/>
      <c r="F285" s="455"/>
      <c r="G285" s="647"/>
      <c r="H285" s="455"/>
      <c r="I285" s="653"/>
      <c r="J285" s="455"/>
      <c r="K285" s="455"/>
      <c r="L285" s="455"/>
      <c r="M285" s="1404" t="str">
        <f>+IFERROR(VLOOKUP(G285,'S1&amp;2 Lists'!$C$4:$G$200,3,FALSE),"-")</f>
        <v>-</v>
      </c>
      <c r="N285" s="1404" t="str">
        <f t="shared" si="4"/>
        <v>-</v>
      </c>
      <c r="P285" s="1405">
        <f>ROUND(IF(L285='S1&amp;2 Lists'!$CV$3,K285,IF(L285='S1&amp;2 Lists'!$CV$4,K285/'S1&amp;2 Lists'!$CQ$6,0)),3)</f>
        <v>0</v>
      </c>
      <c r="Q285" s="10" t="s">
        <v>12</v>
      </c>
    </row>
    <row r="286" spans="1:17" s="651" customFormat="1">
      <c r="A286" s="455"/>
      <c r="B286" s="455"/>
      <c r="C286" s="652"/>
      <c r="D286" s="455"/>
      <c r="E286" s="653"/>
      <c r="F286" s="455"/>
      <c r="G286" s="647"/>
      <c r="H286" s="455"/>
      <c r="I286" s="653"/>
      <c r="J286" s="455"/>
      <c r="K286" s="455"/>
      <c r="L286" s="455"/>
      <c r="M286" s="1404" t="str">
        <f>+IFERROR(VLOOKUP(G286,'S1&amp;2 Lists'!$C$4:$G$200,3,FALSE),"-")</f>
        <v>-</v>
      </c>
      <c r="N286" s="1404" t="str">
        <f t="shared" si="4"/>
        <v>-</v>
      </c>
      <c r="P286" s="1405">
        <f>ROUND(IF(L286='S1&amp;2 Lists'!$CV$3,K286,IF(L286='S1&amp;2 Lists'!$CV$4,K286/'S1&amp;2 Lists'!$CQ$6,0)),3)</f>
        <v>0</v>
      </c>
      <c r="Q286" s="10" t="s">
        <v>12</v>
      </c>
    </row>
    <row r="287" spans="1:17" s="651" customFormat="1">
      <c r="A287" s="455"/>
      <c r="B287" s="455"/>
      <c r="C287" s="652"/>
      <c r="D287" s="455"/>
      <c r="E287" s="653"/>
      <c r="F287" s="455"/>
      <c r="G287" s="647"/>
      <c r="H287" s="455"/>
      <c r="I287" s="653"/>
      <c r="J287" s="455"/>
      <c r="K287" s="455"/>
      <c r="L287" s="455"/>
      <c r="M287" s="1404" t="str">
        <f>+IFERROR(VLOOKUP(G287,'S1&amp;2 Lists'!$C$4:$G$200,3,FALSE),"-")</f>
        <v>-</v>
      </c>
      <c r="N287" s="1404" t="str">
        <f t="shared" si="4"/>
        <v>-</v>
      </c>
      <c r="P287" s="1405">
        <f>ROUND(IF(L287='S1&amp;2 Lists'!$CV$3,K287,IF(L287='S1&amp;2 Lists'!$CV$4,K287/'S1&amp;2 Lists'!$CQ$6,0)),3)</f>
        <v>0</v>
      </c>
      <c r="Q287" s="10" t="s">
        <v>12</v>
      </c>
    </row>
    <row r="288" spans="1:17" s="651" customFormat="1">
      <c r="A288" s="455"/>
      <c r="B288" s="455"/>
      <c r="C288" s="652"/>
      <c r="D288" s="455"/>
      <c r="E288" s="653"/>
      <c r="F288" s="455"/>
      <c r="G288" s="647"/>
      <c r="H288" s="455"/>
      <c r="I288" s="653"/>
      <c r="J288" s="455"/>
      <c r="K288" s="455"/>
      <c r="L288" s="455"/>
      <c r="M288" s="1404" t="str">
        <f>+IFERROR(VLOOKUP(G288,'S1&amp;2 Lists'!$C$4:$G$200,3,FALSE),"-")</f>
        <v>-</v>
      </c>
      <c r="N288" s="1404" t="str">
        <f t="shared" si="4"/>
        <v>-</v>
      </c>
      <c r="P288" s="1405">
        <f>ROUND(IF(L288='S1&amp;2 Lists'!$CV$3,K288,IF(L288='S1&amp;2 Lists'!$CV$4,K288/'S1&amp;2 Lists'!$CQ$6,0)),3)</f>
        <v>0</v>
      </c>
      <c r="Q288" s="10" t="s">
        <v>12</v>
      </c>
    </row>
    <row r="289" spans="1:17" s="651" customFormat="1">
      <c r="A289" s="455"/>
      <c r="B289" s="455"/>
      <c r="C289" s="652"/>
      <c r="D289" s="455"/>
      <c r="E289" s="653"/>
      <c r="F289" s="455"/>
      <c r="G289" s="647"/>
      <c r="H289" s="455"/>
      <c r="I289" s="653"/>
      <c r="J289" s="455"/>
      <c r="K289" s="455"/>
      <c r="L289" s="455"/>
      <c r="M289" s="1404" t="str">
        <f>+IFERROR(VLOOKUP(G289,'S1&amp;2 Lists'!$C$4:$G$200,3,FALSE),"-")</f>
        <v>-</v>
      </c>
      <c r="N289" s="1404" t="str">
        <f t="shared" si="4"/>
        <v>-</v>
      </c>
      <c r="P289" s="1405">
        <f>ROUND(IF(L289='S1&amp;2 Lists'!$CV$3,K289,IF(L289='S1&amp;2 Lists'!$CV$4,K289/'S1&amp;2 Lists'!$CQ$6,0)),3)</f>
        <v>0</v>
      </c>
      <c r="Q289" s="10" t="s">
        <v>12</v>
      </c>
    </row>
    <row r="290" spans="1:17" s="651" customFormat="1">
      <c r="A290" s="455"/>
      <c r="B290" s="455"/>
      <c r="C290" s="652"/>
      <c r="D290" s="455"/>
      <c r="E290" s="653"/>
      <c r="F290" s="455"/>
      <c r="G290" s="647"/>
      <c r="H290" s="455"/>
      <c r="I290" s="653"/>
      <c r="J290" s="455"/>
      <c r="K290" s="455"/>
      <c r="L290" s="455"/>
      <c r="M290" s="1404" t="str">
        <f>+IFERROR(VLOOKUP(G290,'S1&amp;2 Lists'!$C$4:$G$200,3,FALSE),"-")</f>
        <v>-</v>
      </c>
      <c r="N290" s="1404" t="str">
        <f t="shared" si="4"/>
        <v>-</v>
      </c>
      <c r="P290" s="1405">
        <f>ROUND(IF(L290='S1&amp;2 Lists'!$CV$3,K290,IF(L290='S1&amp;2 Lists'!$CV$4,K290/'S1&amp;2 Lists'!$CQ$6,0)),3)</f>
        <v>0</v>
      </c>
      <c r="Q290" s="10" t="s">
        <v>12</v>
      </c>
    </row>
    <row r="291" spans="1:17" s="651" customFormat="1">
      <c r="A291" s="455"/>
      <c r="B291" s="455"/>
      <c r="C291" s="652"/>
      <c r="D291" s="455"/>
      <c r="E291" s="653"/>
      <c r="F291" s="455"/>
      <c r="G291" s="647"/>
      <c r="H291" s="455"/>
      <c r="I291" s="653"/>
      <c r="J291" s="455"/>
      <c r="K291" s="455"/>
      <c r="L291" s="455"/>
      <c r="M291" s="1404" t="str">
        <f>+IFERROR(VLOOKUP(G291,'S1&amp;2 Lists'!$C$4:$G$200,3,FALSE),"-")</f>
        <v>-</v>
      </c>
      <c r="N291" s="1404" t="str">
        <f t="shared" si="4"/>
        <v>-</v>
      </c>
      <c r="P291" s="1405">
        <f>ROUND(IF(L291='S1&amp;2 Lists'!$CV$3,K291,IF(L291='S1&amp;2 Lists'!$CV$4,K291/'S1&amp;2 Lists'!$CQ$6,0)),3)</f>
        <v>0</v>
      </c>
      <c r="Q291" s="10" t="s">
        <v>12</v>
      </c>
    </row>
    <row r="292" spans="1:17" s="651" customFormat="1">
      <c r="A292" s="455"/>
      <c r="B292" s="455"/>
      <c r="C292" s="652"/>
      <c r="D292" s="455"/>
      <c r="E292" s="653"/>
      <c r="F292" s="455"/>
      <c r="G292" s="647"/>
      <c r="H292" s="455"/>
      <c r="I292" s="653"/>
      <c r="J292" s="455"/>
      <c r="K292" s="455"/>
      <c r="L292" s="455"/>
      <c r="M292" s="1404" t="str">
        <f>+IFERROR(VLOOKUP(G292,'S1&amp;2 Lists'!$C$4:$G$200,3,FALSE),"-")</f>
        <v>-</v>
      </c>
      <c r="N292" s="1404" t="str">
        <f t="shared" si="4"/>
        <v>-</v>
      </c>
      <c r="P292" s="1405">
        <f>ROUND(IF(L292='S1&amp;2 Lists'!$CV$3,K292,IF(L292='S1&amp;2 Lists'!$CV$4,K292/'S1&amp;2 Lists'!$CQ$6,0)),3)</f>
        <v>0</v>
      </c>
      <c r="Q292" s="10" t="s">
        <v>12</v>
      </c>
    </row>
    <row r="293" spans="1:17" s="651" customFormat="1">
      <c r="A293" s="455"/>
      <c r="B293" s="455"/>
      <c r="C293" s="652"/>
      <c r="D293" s="455"/>
      <c r="E293" s="653"/>
      <c r="F293" s="455"/>
      <c r="G293" s="647"/>
      <c r="H293" s="455"/>
      <c r="I293" s="653"/>
      <c r="J293" s="455"/>
      <c r="K293" s="455"/>
      <c r="L293" s="455"/>
      <c r="M293" s="1404" t="str">
        <f>+IFERROR(VLOOKUP(G293,'S1&amp;2 Lists'!$C$4:$G$200,3,FALSE),"-")</f>
        <v>-</v>
      </c>
      <c r="N293" s="1404" t="str">
        <f t="shared" si="4"/>
        <v>-</v>
      </c>
      <c r="P293" s="1405">
        <f>ROUND(IF(L293='S1&amp;2 Lists'!$CV$3,K293,IF(L293='S1&amp;2 Lists'!$CV$4,K293/'S1&amp;2 Lists'!$CQ$6,0)),3)</f>
        <v>0</v>
      </c>
      <c r="Q293" s="10" t="s">
        <v>12</v>
      </c>
    </row>
    <row r="294" spans="1:17" s="651" customFormat="1">
      <c r="A294" s="455"/>
      <c r="B294" s="455"/>
      <c r="C294" s="652"/>
      <c r="D294" s="455"/>
      <c r="E294" s="653"/>
      <c r="F294" s="455"/>
      <c r="G294" s="647"/>
      <c r="H294" s="455"/>
      <c r="I294" s="653"/>
      <c r="J294" s="455"/>
      <c r="K294" s="455"/>
      <c r="L294" s="455"/>
      <c r="M294" s="1404" t="str">
        <f>+IFERROR(VLOOKUP(G294,'S1&amp;2 Lists'!$C$4:$G$200,3,FALSE),"-")</f>
        <v>-</v>
      </c>
      <c r="N294" s="1404" t="str">
        <f t="shared" si="4"/>
        <v>-</v>
      </c>
      <c r="P294" s="1405">
        <f>ROUND(IF(L294='S1&amp;2 Lists'!$CV$3,K294,IF(L294='S1&amp;2 Lists'!$CV$4,K294/'S1&amp;2 Lists'!$CQ$6,0)),3)</f>
        <v>0</v>
      </c>
      <c r="Q294" s="10" t="s">
        <v>12</v>
      </c>
    </row>
    <row r="295" spans="1:17" s="651" customFormat="1">
      <c r="A295" s="455"/>
      <c r="B295" s="455"/>
      <c r="C295" s="652"/>
      <c r="D295" s="455"/>
      <c r="E295" s="653"/>
      <c r="F295" s="455"/>
      <c r="G295" s="647"/>
      <c r="H295" s="455"/>
      <c r="I295" s="653"/>
      <c r="J295" s="455"/>
      <c r="K295" s="455"/>
      <c r="L295" s="455"/>
      <c r="M295" s="1404" t="str">
        <f>+IFERROR(VLOOKUP(G295,'S1&amp;2 Lists'!$C$4:$G$200,3,FALSE),"-")</f>
        <v>-</v>
      </c>
      <c r="N295" s="1404" t="str">
        <f t="shared" si="4"/>
        <v>-</v>
      </c>
      <c r="P295" s="1405">
        <f>ROUND(IF(L295='S1&amp;2 Lists'!$CV$3,K295,IF(L295='S1&amp;2 Lists'!$CV$4,K295/'S1&amp;2 Lists'!$CQ$6,0)),3)</f>
        <v>0</v>
      </c>
      <c r="Q295" s="10" t="s">
        <v>12</v>
      </c>
    </row>
    <row r="296" spans="1:17" s="651" customFormat="1">
      <c r="A296" s="455"/>
      <c r="B296" s="455"/>
      <c r="C296" s="652"/>
      <c r="D296" s="455"/>
      <c r="E296" s="653"/>
      <c r="F296" s="455"/>
      <c r="G296" s="647"/>
      <c r="H296" s="455"/>
      <c r="I296" s="653"/>
      <c r="J296" s="455"/>
      <c r="K296" s="455"/>
      <c r="L296" s="455"/>
      <c r="M296" s="1404" t="str">
        <f>+IFERROR(VLOOKUP(G296,'S1&amp;2 Lists'!$C$4:$G$200,3,FALSE),"-")</f>
        <v>-</v>
      </c>
      <c r="N296" s="1404" t="str">
        <f t="shared" si="4"/>
        <v>-</v>
      </c>
      <c r="P296" s="1405">
        <f>ROUND(IF(L296='S1&amp;2 Lists'!$CV$3,K296,IF(L296='S1&amp;2 Lists'!$CV$4,K296/'S1&amp;2 Lists'!$CQ$6,0)),3)</f>
        <v>0</v>
      </c>
      <c r="Q296" s="10" t="s">
        <v>12</v>
      </c>
    </row>
    <row r="297" spans="1:17" s="651" customFormat="1">
      <c r="A297" s="455"/>
      <c r="B297" s="455"/>
      <c r="C297" s="652"/>
      <c r="D297" s="455"/>
      <c r="E297" s="653"/>
      <c r="F297" s="455"/>
      <c r="G297" s="647"/>
      <c r="H297" s="455"/>
      <c r="I297" s="653"/>
      <c r="J297" s="455"/>
      <c r="K297" s="455"/>
      <c r="L297" s="455"/>
      <c r="M297" s="1404" t="str">
        <f>+IFERROR(VLOOKUP(G297,'S1&amp;2 Lists'!$C$4:$G$200,3,FALSE),"-")</f>
        <v>-</v>
      </c>
      <c r="N297" s="1404" t="str">
        <f t="shared" si="4"/>
        <v>-</v>
      </c>
      <c r="P297" s="1405">
        <f>ROUND(IF(L297='S1&amp;2 Lists'!$CV$3,K297,IF(L297='S1&amp;2 Lists'!$CV$4,K297/'S1&amp;2 Lists'!$CQ$6,0)),3)</f>
        <v>0</v>
      </c>
      <c r="Q297" s="10" t="s">
        <v>12</v>
      </c>
    </row>
    <row r="298" spans="1:17" s="651" customFormat="1">
      <c r="A298" s="455"/>
      <c r="B298" s="455"/>
      <c r="C298" s="652"/>
      <c r="D298" s="455"/>
      <c r="E298" s="653"/>
      <c r="F298" s="455"/>
      <c r="G298" s="647"/>
      <c r="H298" s="455"/>
      <c r="I298" s="653"/>
      <c r="J298" s="455"/>
      <c r="K298" s="455"/>
      <c r="L298" s="455"/>
      <c r="M298" s="1404" t="str">
        <f>+IFERROR(VLOOKUP(G298,'S1&amp;2 Lists'!$C$4:$G$200,3,FALSE),"-")</f>
        <v>-</v>
      </c>
      <c r="N298" s="1404" t="str">
        <f t="shared" si="4"/>
        <v>-</v>
      </c>
      <c r="P298" s="1405">
        <f>ROUND(IF(L298='S1&amp;2 Lists'!$CV$3,K298,IF(L298='S1&amp;2 Lists'!$CV$4,K298/'S1&amp;2 Lists'!$CQ$6,0)),3)</f>
        <v>0</v>
      </c>
      <c r="Q298" s="10" t="s">
        <v>12</v>
      </c>
    </row>
    <row r="299" spans="1:17" s="651" customFormat="1">
      <c r="A299" s="455"/>
      <c r="B299" s="455"/>
      <c r="C299" s="652"/>
      <c r="D299" s="455"/>
      <c r="E299" s="653"/>
      <c r="F299" s="455"/>
      <c r="G299" s="647"/>
      <c r="H299" s="455"/>
      <c r="I299" s="653"/>
      <c r="J299" s="455"/>
      <c r="K299" s="455"/>
      <c r="L299" s="455"/>
      <c r="M299" s="1404" t="str">
        <f>+IFERROR(VLOOKUP(G299,'S1&amp;2 Lists'!$C$4:$G$200,3,FALSE),"-")</f>
        <v>-</v>
      </c>
      <c r="N299" s="1404" t="str">
        <f t="shared" si="4"/>
        <v>-</v>
      </c>
      <c r="P299" s="1405">
        <f>ROUND(IF(L299='S1&amp;2 Lists'!$CV$3,K299,IF(L299='S1&amp;2 Lists'!$CV$4,K299/'S1&amp;2 Lists'!$CQ$6,0)),3)</f>
        <v>0</v>
      </c>
      <c r="Q299" s="10" t="s">
        <v>12</v>
      </c>
    </row>
    <row r="300" spans="1:17" s="651" customFormat="1">
      <c r="A300" s="455"/>
      <c r="B300" s="455"/>
      <c r="C300" s="652"/>
      <c r="D300" s="455"/>
      <c r="E300" s="653"/>
      <c r="F300" s="455"/>
      <c r="G300" s="647"/>
      <c r="H300" s="455"/>
      <c r="I300" s="653"/>
      <c r="J300" s="455"/>
      <c r="K300" s="455"/>
      <c r="L300" s="455"/>
      <c r="M300" s="1404" t="str">
        <f>+IFERROR(VLOOKUP(G300,'S1&amp;2 Lists'!$C$4:$G$200,3,FALSE),"-")</f>
        <v>-</v>
      </c>
      <c r="N300" s="1404" t="str">
        <f t="shared" si="4"/>
        <v>-</v>
      </c>
      <c r="P300" s="1405">
        <f>ROUND(IF(L300='S1&amp;2 Lists'!$CV$3,K300,IF(L300='S1&amp;2 Lists'!$CV$4,K300/'S1&amp;2 Lists'!$CQ$6,0)),3)</f>
        <v>0</v>
      </c>
      <c r="Q300" s="10" t="s">
        <v>12</v>
      </c>
    </row>
    <row r="301" spans="1:17" s="651" customFormat="1">
      <c r="A301" s="455"/>
      <c r="B301" s="455"/>
      <c r="C301" s="652"/>
      <c r="D301" s="455"/>
      <c r="E301" s="653"/>
      <c r="F301" s="455"/>
      <c r="G301" s="647"/>
      <c r="H301" s="455"/>
      <c r="I301" s="653"/>
      <c r="J301" s="455"/>
      <c r="K301" s="455"/>
      <c r="L301" s="455"/>
      <c r="M301" s="1404" t="str">
        <f>+IFERROR(VLOOKUP(G301,'S1&amp;2 Lists'!$C$4:$G$200,3,FALSE),"-")</f>
        <v>-</v>
      </c>
      <c r="N301" s="1404" t="str">
        <f t="shared" si="4"/>
        <v>-</v>
      </c>
      <c r="P301" s="1405">
        <f>ROUND(IF(L301='S1&amp;2 Lists'!$CV$3,K301,IF(L301='S1&amp;2 Lists'!$CV$4,K301/'S1&amp;2 Lists'!$CQ$6,0)),3)</f>
        <v>0</v>
      </c>
      <c r="Q301" s="10" t="s">
        <v>12</v>
      </c>
    </row>
    <row r="302" spans="1:17" s="651" customFormat="1">
      <c r="A302" s="455"/>
      <c r="B302" s="455"/>
      <c r="C302" s="652"/>
      <c r="D302" s="455"/>
      <c r="E302" s="653"/>
      <c r="F302" s="455"/>
      <c r="G302" s="647"/>
      <c r="H302" s="455"/>
      <c r="I302" s="653"/>
      <c r="J302" s="455"/>
      <c r="K302" s="455"/>
      <c r="L302" s="455"/>
      <c r="M302" s="1404" t="str">
        <f>+IFERROR(VLOOKUP(G302,'S1&amp;2 Lists'!$C$4:$G$200,3,FALSE),"-")</f>
        <v>-</v>
      </c>
      <c r="N302" s="1404" t="str">
        <f t="shared" si="4"/>
        <v>-</v>
      </c>
      <c r="P302" s="1405">
        <f>ROUND(IF(L302='S1&amp;2 Lists'!$CV$3,K302,IF(L302='S1&amp;2 Lists'!$CV$4,K302/'S1&amp;2 Lists'!$CQ$6,0)),3)</f>
        <v>0</v>
      </c>
      <c r="Q302" s="10" t="s">
        <v>12</v>
      </c>
    </row>
    <row r="303" spans="1:17" s="651" customFormat="1">
      <c r="A303" s="455"/>
      <c r="B303" s="455"/>
      <c r="C303" s="652"/>
      <c r="D303" s="455"/>
      <c r="E303" s="653"/>
      <c r="F303" s="455"/>
      <c r="G303" s="647"/>
      <c r="H303" s="455"/>
      <c r="I303" s="653"/>
      <c r="J303" s="455"/>
      <c r="K303" s="455"/>
      <c r="L303" s="455"/>
      <c r="M303" s="1404" t="str">
        <f>+IFERROR(VLOOKUP(G303,'S1&amp;2 Lists'!$C$4:$G$200,3,FALSE),"-")</f>
        <v>-</v>
      </c>
      <c r="N303" s="1404" t="str">
        <f t="shared" si="4"/>
        <v>-</v>
      </c>
      <c r="P303" s="1405">
        <f>ROUND(IF(L303='S1&amp;2 Lists'!$CV$3,K303,IF(L303='S1&amp;2 Lists'!$CV$4,K303/'S1&amp;2 Lists'!$CQ$6,0)),3)</f>
        <v>0</v>
      </c>
      <c r="Q303" s="10" t="s">
        <v>12</v>
      </c>
    </row>
    <row r="304" spans="1:17" s="651" customFormat="1">
      <c r="A304" s="455"/>
      <c r="B304" s="455"/>
      <c r="C304" s="652"/>
      <c r="D304" s="455"/>
      <c r="E304" s="653"/>
      <c r="F304" s="455"/>
      <c r="G304" s="647"/>
      <c r="H304" s="455"/>
      <c r="I304" s="653"/>
      <c r="J304" s="455"/>
      <c r="K304" s="455"/>
      <c r="L304" s="455"/>
      <c r="M304" s="1404" t="str">
        <f>+IFERROR(VLOOKUP(G304,'S1&amp;2 Lists'!$C$4:$G$200,3,FALSE),"-")</f>
        <v>-</v>
      </c>
      <c r="N304" s="1404" t="str">
        <f t="shared" si="4"/>
        <v>-</v>
      </c>
      <c r="P304" s="1405">
        <f>ROUND(IF(L304='S1&amp;2 Lists'!$CV$3,K304,IF(L304='S1&amp;2 Lists'!$CV$4,K304/'S1&amp;2 Lists'!$CQ$6,0)),3)</f>
        <v>0</v>
      </c>
      <c r="Q304" s="10" t="s">
        <v>12</v>
      </c>
    </row>
    <row r="305" spans="1:17" s="651" customFormat="1">
      <c r="A305" s="455"/>
      <c r="B305" s="455"/>
      <c r="C305" s="652"/>
      <c r="D305" s="455"/>
      <c r="E305" s="653"/>
      <c r="F305" s="455"/>
      <c r="G305" s="647"/>
      <c r="H305" s="455"/>
      <c r="I305" s="653"/>
      <c r="J305" s="455"/>
      <c r="K305" s="455"/>
      <c r="L305" s="455"/>
      <c r="M305" s="1404" t="str">
        <f>+IFERROR(VLOOKUP(G305,'S1&amp;2 Lists'!$C$4:$G$200,3,FALSE),"-")</f>
        <v>-</v>
      </c>
      <c r="N305" s="1404" t="str">
        <f t="shared" si="4"/>
        <v>-</v>
      </c>
      <c r="P305" s="1405">
        <f>ROUND(IF(L305='S1&amp;2 Lists'!$CV$3,K305,IF(L305='S1&amp;2 Lists'!$CV$4,K305/'S1&amp;2 Lists'!$CQ$6,0)),3)</f>
        <v>0</v>
      </c>
      <c r="Q305" s="10" t="s">
        <v>12</v>
      </c>
    </row>
    <row r="306" spans="1:17" s="651" customFormat="1">
      <c r="A306" s="455"/>
      <c r="B306" s="455"/>
      <c r="C306" s="652"/>
      <c r="D306" s="455"/>
      <c r="E306" s="653"/>
      <c r="F306" s="455"/>
      <c r="G306" s="647"/>
      <c r="H306" s="455"/>
      <c r="I306" s="653"/>
      <c r="J306" s="455"/>
      <c r="K306" s="455"/>
      <c r="L306" s="455"/>
      <c r="M306" s="1404" t="str">
        <f>+IFERROR(VLOOKUP(G306,'S1&amp;2 Lists'!$C$4:$G$200,3,FALSE),"-")</f>
        <v>-</v>
      </c>
      <c r="N306" s="1404" t="str">
        <f t="shared" si="4"/>
        <v>-</v>
      </c>
      <c r="P306" s="1405">
        <f>ROUND(IF(L306='S1&amp;2 Lists'!$CV$3,K306,IF(L306='S1&amp;2 Lists'!$CV$4,K306/'S1&amp;2 Lists'!$CQ$6,0)),3)</f>
        <v>0</v>
      </c>
      <c r="Q306" s="10" t="s">
        <v>12</v>
      </c>
    </row>
    <row r="307" spans="1:17" s="651" customFormat="1">
      <c r="A307" s="455"/>
      <c r="B307" s="455"/>
      <c r="C307" s="652"/>
      <c r="D307" s="455"/>
      <c r="E307" s="653"/>
      <c r="F307" s="455"/>
      <c r="G307" s="647"/>
      <c r="H307" s="455"/>
      <c r="I307" s="653"/>
      <c r="J307" s="455"/>
      <c r="K307" s="455"/>
      <c r="L307" s="455"/>
      <c r="M307" s="1404" t="str">
        <f>+IFERROR(VLOOKUP(G307,'S1&amp;2 Lists'!$C$4:$G$200,3,FALSE),"-")</f>
        <v>-</v>
      </c>
      <c r="N307" s="1404" t="str">
        <f t="shared" si="4"/>
        <v>-</v>
      </c>
      <c r="P307" s="1405">
        <f>ROUND(IF(L307='S1&amp;2 Lists'!$CV$3,K307,IF(L307='S1&amp;2 Lists'!$CV$4,K307/'S1&amp;2 Lists'!$CQ$6,0)),3)</f>
        <v>0</v>
      </c>
      <c r="Q307" s="10" t="s">
        <v>12</v>
      </c>
    </row>
    <row r="308" spans="1:17" s="651" customFormat="1">
      <c r="A308" s="455"/>
      <c r="B308" s="455"/>
      <c r="C308" s="652"/>
      <c r="D308" s="455"/>
      <c r="E308" s="653"/>
      <c r="F308" s="455"/>
      <c r="G308" s="647"/>
      <c r="H308" s="455"/>
      <c r="I308" s="653"/>
      <c r="J308" s="455"/>
      <c r="K308" s="455"/>
      <c r="L308" s="455"/>
      <c r="M308" s="1404" t="str">
        <f>+IFERROR(VLOOKUP(G308,'S1&amp;2 Lists'!$C$4:$G$200,3,FALSE),"-")</f>
        <v>-</v>
      </c>
      <c r="N308" s="1404" t="str">
        <f t="shared" si="4"/>
        <v>-</v>
      </c>
      <c r="P308" s="1405">
        <f>ROUND(IF(L308='S1&amp;2 Lists'!$CV$3,K308,IF(L308='S1&amp;2 Lists'!$CV$4,K308/'S1&amp;2 Lists'!$CQ$6,0)),3)</f>
        <v>0</v>
      </c>
      <c r="Q308" s="10" t="s">
        <v>12</v>
      </c>
    </row>
    <row r="309" spans="1:17" s="651" customFormat="1">
      <c r="A309" s="455"/>
      <c r="B309" s="455"/>
      <c r="C309" s="652"/>
      <c r="D309" s="455"/>
      <c r="E309" s="653"/>
      <c r="F309" s="455"/>
      <c r="G309" s="647"/>
      <c r="H309" s="455"/>
      <c r="I309" s="653"/>
      <c r="J309" s="455"/>
      <c r="K309" s="455"/>
      <c r="L309" s="455"/>
      <c r="M309" s="1404" t="str">
        <f>+IFERROR(VLOOKUP(G309,'S1&amp;2 Lists'!$C$4:$G$200,3,FALSE),"-")</f>
        <v>-</v>
      </c>
      <c r="N309" s="1404" t="str">
        <f t="shared" si="4"/>
        <v>-</v>
      </c>
      <c r="P309" s="1405">
        <f>ROUND(IF(L309='S1&amp;2 Lists'!$CV$3,K309,IF(L309='S1&amp;2 Lists'!$CV$4,K309/'S1&amp;2 Lists'!$CQ$6,0)),3)</f>
        <v>0</v>
      </c>
      <c r="Q309" s="10" t="s">
        <v>12</v>
      </c>
    </row>
    <row r="310" spans="1:17" s="651" customFormat="1">
      <c r="A310" s="455"/>
      <c r="B310" s="455"/>
      <c r="C310" s="652"/>
      <c r="D310" s="455"/>
      <c r="E310" s="653"/>
      <c r="F310" s="455"/>
      <c r="G310" s="647"/>
      <c r="H310" s="455"/>
      <c r="I310" s="653"/>
      <c r="J310" s="455"/>
      <c r="K310" s="455"/>
      <c r="L310" s="455"/>
      <c r="M310" s="1404" t="str">
        <f>+IFERROR(VLOOKUP(G310,'S1&amp;2 Lists'!$C$4:$G$200,3,FALSE),"-")</f>
        <v>-</v>
      </c>
      <c r="N310" s="1404" t="str">
        <f t="shared" si="4"/>
        <v>-</v>
      </c>
      <c r="P310" s="1405">
        <f>ROUND(IF(L310='S1&amp;2 Lists'!$CV$3,K310,IF(L310='S1&amp;2 Lists'!$CV$4,K310/'S1&amp;2 Lists'!$CQ$6,0)),3)</f>
        <v>0</v>
      </c>
      <c r="Q310" s="10" t="s">
        <v>12</v>
      </c>
    </row>
    <row r="311" spans="1:17" s="651" customFormat="1">
      <c r="A311" s="455"/>
      <c r="B311" s="455"/>
      <c r="C311" s="652"/>
      <c r="D311" s="455"/>
      <c r="E311" s="653"/>
      <c r="F311" s="455"/>
      <c r="G311" s="647"/>
      <c r="H311" s="455"/>
      <c r="I311" s="653"/>
      <c r="J311" s="455"/>
      <c r="K311" s="455"/>
      <c r="L311" s="455"/>
      <c r="M311" s="1404" t="str">
        <f>+IFERROR(VLOOKUP(G311,'S1&amp;2 Lists'!$C$4:$G$200,3,FALSE),"-")</f>
        <v>-</v>
      </c>
      <c r="N311" s="1404" t="str">
        <f t="shared" si="4"/>
        <v>-</v>
      </c>
      <c r="P311" s="1405">
        <f>ROUND(IF(L311='S1&amp;2 Lists'!$CV$3,K311,IF(L311='S1&amp;2 Lists'!$CV$4,K311/'S1&amp;2 Lists'!$CQ$6,0)),3)</f>
        <v>0</v>
      </c>
      <c r="Q311" s="10" t="s">
        <v>12</v>
      </c>
    </row>
    <row r="312" spans="1:17" s="651" customFormat="1">
      <c r="A312" s="455"/>
      <c r="B312" s="455"/>
      <c r="C312" s="652"/>
      <c r="D312" s="455"/>
      <c r="E312" s="653"/>
      <c r="F312" s="455"/>
      <c r="G312" s="647"/>
      <c r="H312" s="455"/>
      <c r="I312" s="653"/>
      <c r="J312" s="455"/>
      <c r="K312" s="455"/>
      <c r="L312" s="455"/>
      <c r="M312" s="1404" t="str">
        <f>+IFERROR(VLOOKUP(G312,'S1&amp;2 Lists'!$C$4:$G$200,3,FALSE),"-")</f>
        <v>-</v>
      </c>
      <c r="N312" s="1404" t="str">
        <f t="shared" si="4"/>
        <v>-</v>
      </c>
      <c r="P312" s="1405">
        <f>ROUND(IF(L312='S1&amp;2 Lists'!$CV$3,K312,IF(L312='S1&amp;2 Lists'!$CV$4,K312/'S1&amp;2 Lists'!$CQ$6,0)),3)</f>
        <v>0</v>
      </c>
      <c r="Q312" s="10" t="s">
        <v>12</v>
      </c>
    </row>
    <row r="313" spans="1:17" s="651" customFormat="1">
      <c r="A313" s="455"/>
      <c r="B313" s="455"/>
      <c r="C313" s="652"/>
      <c r="D313" s="455"/>
      <c r="E313" s="653"/>
      <c r="F313" s="455"/>
      <c r="G313" s="647"/>
      <c r="H313" s="455"/>
      <c r="I313" s="653"/>
      <c r="J313" s="455"/>
      <c r="K313" s="455"/>
      <c r="L313" s="455"/>
      <c r="M313" s="1404" t="str">
        <f>+IFERROR(VLOOKUP(G313,'S1&amp;2 Lists'!$C$4:$G$200,3,FALSE),"-")</f>
        <v>-</v>
      </c>
      <c r="N313" s="1404" t="str">
        <f t="shared" si="4"/>
        <v>-</v>
      </c>
      <c r="P313" s="1405">
        <f>ROUND(IF(L313='S1&amp;2 Lists'!$CV$3,K313,IF(L313='S1&amp;2 Lists'!$CV$4,K313/'S1&amp;2 Lists'!$CQ$6,0)),3)</f>
        <v>0</v>
      </c>
      <c r="Q313" s="10" t="s">
        <v>12</v>
      </c>
    </row>
    <row r="314" spans="1:17" s="651" customFormat="1">
      <c r="A314" s="455"/>
      <c r="B314" s="455"/>
      <c r="C314" s="652"/>
      <c r="D314" s="455"/>
      <c r="E314" s="653"/>
      <c r="F314" s="455"/>
      <c r="G314" s="647"/>
      <c r="H314" s="455"/>
      <c r="I314" s="653"/>
      <c r="J314" s="455"/>
      <c r="K314" s="455"/>
      <c r="L314" s="455"/>
      <c r="M314" s="1404" t="str">
        <f>+IFERROR(VLOOKUP(G314,'S1&amp;2 Lists'!$C$4:$G$200,3,FALSE),"-")</f>
        <v>-</v>
      </c>
      <c r="N314" s="1404" t="str">
        <f t="shared" si="4"/>
        <v>-</v>
      </c>
      <c r="P314" s="1405">
        <f>ROUND(IF(L314='S1&amp;2 Lists'!$CV$3,K314,IF(L314='S1&amp;2 Lists'!$CV$4,K314/'S1&amp;2 Lists'!$CQ$6,0)),3)</f>
        <v>0</v>
      </c>
      <c r="Q314" s="10" t="s">
        <v>12</v>
      </c>
    </row>
    <row r="315" spans="1:17" s="651" customFormat="1">
      <c r="A315" s="455"/>
      <c r="B315" s="455"/>
      <c r="C315" s="652"/>
      <c r="D315" s="455"/>
      <c r="E315" s="653"/>
      <c r="F315" s="455"/>
      <c r="G315" s="647"/>
      <c r="H315" s="455"/>
      <c r="I315" s="653"/>
      <c r="J315" s="455"/>
      <c r="K315" s="455"/>
      <c r="L315" s="455"/>
      <c r="M315" s="1404" t="str">
        <f>+IFERROR(VLOOKUP(G315,'S1&amp;2 Lists'!$C$4:$G$200,3,FALSE),"-")</f>
        <v>-</v>
      </c>
      <c r="N315" s="1404" t="str">
        <f t="shared" si="4"/>
        <v>-</v>
      </c>
      <c r="P315" s="1405">
        <f>ROUND(IF(L315='S1&amp;2 Lists'!$CV$3,K315,IF(L315='S1&amp;2 Lists'!$CV$4,K315/'S1&amp;2 Lists'!$CQ$6,0)),3)</f>
        <v>0</v>
      </c>
      <c r="Q315" s="10" t="s">
        <v>12</v>
      </c>
    </row>
    <row r="316" spans="1:17" s="651" customFormat="1">
      <c r="A316" s="455"/>
      <c r="B316" s="455"/>
      <c r="C316" s="652"/>
      <c r="D316" s="455"/>
      <c r="E316" s="653"/>
      <c r="F316" s="455"/>
      <c r="G316" s="647"/>
      <c r="H316" s="455"/>
      <c r="I316" s="653"/>
      <c r="J316" s="455"/>
      <c r="K316" s="455"/>
      <c r="L316" s="455"/>
      <c r="M316" s="1404" t="str">
        <f>+IFERROR(VLOOKUP(G316,'S1&amp;2 Lists'!$C$4:$G$200,3,FALSE),"-")</f>
        <v>-</v>
      </c>
      <c r="N316" s="1404" t="str">
        <f t="shared" si="4"/>
        <v>-</v>
      </c>
      <c r="P316" s="1405">
        <f>ROUND(IF(L316='S1&amp;2 Lists'!$CV$3,K316,IF(L316='S1&amp;2 Lists'!$CV$4,K316/'S1&amp;2 Lists'!$CQ$6,0)),3)</f>
        <v>0</v>
      </c>
      <c r="Q316" s="10" t="s">
        <v>12</v>
      </c>
    </row>
    <row r="317" spans="1:17" s="651" customFormat="1">
      <c r="A317" s="455"/>
      <c r="B317" s="455"/>
      <c r="C317" s="652"/>
      <c r="D317" s="455"/>
      <c r="E317" s="653"/>
      <c r="F317" s="455"/>
      <c r="G317" s="647"/>
      <c r="H317" s="455"/>
      <c r="I317" s="653"/>
      <c r="J317" s="455"/>
      <c r="K317" s="455"/>
      <c r="L317" s="455"/>
      <c r="M317" s="1404" t="str">
        <f>+IFERROR(VLOOKUP(G317,'S1&amp;2 Lists'!$C$4:$G$200,3,FALSE),"-")</f>
        <v>-</v>
      </c>
      <c r="N317" s="1404" t="str">
        <f t="shared" si="4"/>
        <v>-</v>
      </c>
      <c r="P317" s="1405">
        <f>ROUND(IF(L317='S1&amp;2 Lists'!$CV$3,K317,IF(L317='S1&amp;2 Lists'!$CV$4,K317/'S1&amp;2 Lists'!$CQ$6,0)),3)</f>
        <v>0</v>
      </c>
      <c r="Q317" s="10" t="s">
        <v>12</v>
      </c>
    </row>
    <row r="318" spans="1:17" s="651" customFormat="1">
      <c r="A318" s="455"/>
      <c r="B318" s="455"/>
      <c r="C318" s="652"/>
      <c r="D318" s="455"/>
      <c r="E318" s="653"/>
      <c r="F318" s="455"/>
      <c r="G318" s="647"/>
      <c r="H318" s="455"/>
      <c r="I318" s="653"/>
      <c r="J318" s="455"/>
      <c r="K318" s="455"/>
      <c r="L318" s="455"/>
      <c r="M318" s="1404" t="str">
        <f>+IFERROR(VLOOKUP(G318,'S1&amp;2 Lists'!$C$4:$G$200,3,FALSE),"-")</f>
        <v>-</v>
      </c>
      <c r="N318" s="1404" t="str">
        <f t="shared" si="4"/>
        <v>-</v>
      </c>
      <c r="P318" s="1405">
        <f>ROUND(IF(L318='S1&amp;2 Lists'!$CV$3,K318,IF(L318='S1&amp;2 Lists'!$CV$4,K318/'S1&amp;2 Lists'!$CQ$6,0)),3)</f>
        <v>0</v>
      </c>
      <c r="Q318" s="10" t="s">
        <v>12</v>
      </c>
    </row>
    <row r="319" spans="1:17" s="651" customFormat="1">
      <c r="A319" s="455"/>
      <c r="B319" s="455"/>
      <c r="C319" s="652"/>
      <c r="D319" s="455"/>
      <c r="E319" s="653"/>
      <c r="F319" s="455"/>
      <c r="G319" s="647"/>
      <c r="H319" s="455"/>
      <c r="I319" s="653"/>
      <c r="J319" s="455"/>
      <c r="K319" s="455"/>
      <c r="L319" s="455"/>
      <c r="M319" s="1404" t="str">
        <f>+IFERROR(VLOOKUP(G319,'S1&amp;2 Lists'!$C$4:$G$200,3,FALSE),"-")</f>
        <v>-</v>
      </c>
      <c r="N319" s="1404" t="str">
        <f t="shared" si="4"/>
        <v>-</v>
      </c>
      <c r="P319" s="1405">
        <f>ROUND(IF(L319='S1&amp;2 Lists'!$CV$3,K319,IF(L319='S1&amp;2 Lists'!$CV$4,K319/'S1&amp;2 Lists'!$CQ$6,0)),3)</f>
        <v>0</v>
      </c>
      <c r="Q319" s="10" t="s">
        <v>12</v>
      </c>
    </row>
    <row r="320" spans="1:17" s="651" customFormat="1">
      <c r="A320" s="455"/>
      <c r="B320" s="455"/>
      <c r="C320" s="652"/>
      <c r="D320" s="455"/>
      <c r="E320" s="653"/>
      <c r="F320" s="455"/>
      <c r="G320" s="647"/>
      <c r="H320" s="455"/>
      <c r="I320" s="653"/>
      <c r="J320" s="455"/>
      <c r="K320" s="455"/>
      <c r="L320" s="455"/>
      <c r="M320" s="1404" t="str">
        <f>+IFERROR(VLOOKUP(G320,'S1&amp;2 Lists'!$C$4:$G$200,3,FALSE),"-")</f>
        <v>-</v>
      </c>
      <c r="N320" s="1404" t="str">
        <f t="shared" si="4"/>
        <v>-</v>
      </c>
      <c r="P320" s="1405">
        <f>ROUND(IF(L320='S1&amp;2 Lists'!$CV$3,K320,IF(L320='S1&amp;2 Lists'!$CV$4,K320/'S1&amp;2 Lists'!$CQ$6,0)),3)</f>
        <v>0</v>
      </c>
      <c r="Q320" s="10" t="s">
        <v>12</v>
      </c>
    </row>
    <row r="321" spans="1:17" s="651" customFormat="1">
      <c r="A321" s="455"/>
      <c r="B321" s="455"/>
      <c r="C321" s="652"/>
      <c r="D321" s="455"/>
      <c r="E321" s="653"/>
      <c r="F321" s="455"/>
      <c r="G321" s="647"/>
      <c r="H321" s="455"/>
      <c r="I321" s="653"/>
      <c r="J321" s="455"/>
      <c r="K321" s="455"/>
      <c r="L321" s="455"/>
      <c r="M321" s="1404" t="str">
        <f>+IFERROR(VLOOKUP(G321,'S1&amp;2 Lists'!$C$4:$G$200,3,FALSE),"-")</f>
        <v>-</v>
      </c>
      <c r="N321" s="1404" t="str">
        <f t="shared" si="4"/>
        <v>-</v>
      </c>
      <c r="P321" s="1405">
        <f>ROUND(IF(L321='S1&amp;2 Lists'!$CV$3,K321,IF(L321='S1&amp;2 Lists'!$CV$4,K321/'S1&amp;2 Lists'!$CQ$6,0)),3)</f>
        <v>0</v>
      </c>
      <c r="Q321" s="10" t="s">
        <v>12</v>
      </c>
    </row>
    <row r="322" spans="1:17" s="651" customFormat="1">
      <c r="A322" s="455"/>
      <c r="B322" s="455"/>
      <c r="C322" s="652"/>
      <c r="D322" s="455"/>
      <c r="E322" s="653"/>
      <c r="F322" s="455"/>
      <c r="G322" s="647"/>
      <c r="H322" s="455"/>
      <c r="I322" s="653"/>
      <c r="J322" s="455"/>
      <c r="K322" s="455"/>
      <c r="L322" s="455"/>
      <c r="M322" s="1404" t="str">
        <f>+IFERROR(VLOOKUP(G322,'S1&amp;2 Lists'!$C$4:$G$200,3,FALSE),"-")</f>
        <v>-</v>
      </c>
      <c r="N322" s="1404" t="str">
        <f t="shared" si="4"/>
        <v>-</v>
      </c>
      <c r="P322" s="1405">
        <f>ROUND(IF(L322='S1&amp;2 Lists'!$CV$3,K322,IF(L322='S1&amp;2 Lists'!$CV$4,K322/'S1&amp;2 Lists'!$CQ$6,0)),3)</f>
        <v>0</v>
      </c>
      <c r="Q322" s="10" t="s">
        <v>12</v>
      </c>
    </row>
    <row r="323" spans="1:17" s="651" customFormat="1">
      <c r="A323" s="455"/>
      <c r="B323" s="455"/>
      <c r="C323" s="652"/>
      <c r="D323" s="455"/>
      <c r="E323" s="653"/>
      <c r="F323" s="455"/>
      <c r="G323" s="647"/>
      <c r="H323" s="455"/>
      <c r="I323" s="653"/>
      <c r="J323" s="455"/>
      <c r="K323" s="455"/>
      <c r="L323" s="455"/>
      <c r="M323" s="1404" t="str">
        <f>+IFERROR(VLOOKUP(G323,'S1&amp;2 Lists'!$C$4:$G$200,3,FALSE),"-")</f>
        <v>-</v>
      </c>
      <c r="N323" s="1404" t="str">
        <f t="shared" si="4"/>
        <v>-</v>
      </c>
      <c r="P323" s="1405">
        <f>ROUND(IF(L323='S1&amp;2 Lists'!$CV$3,K323,IF(L323='S1&amp;2 Lists'!$CV$4,K323/'S1&amp;2 Lists'!$CQ$6,0)),3)</f>
        <v>0</v>
      </c>
      <c r="Q323" s="10" t="s">
        <v>12</v>
      </c>
    </row>
    <row r="324" spans="1:17" s="651" customFormat="1">
      <c r="A324" s="455"/>
      <c r="B324" s="455"/>
      <c r="C324" s="652"/>
      <c r="D324" s="455"/>
      <c r="E324" s="653"/>
      <c r="F324" s="455"/>
      <c r="G324" s="647"/>
      <c r="H324" s="455"/>
      <c r="I324" s="653"/>
      <c r="J324" s="455"/>
      <c r="K324" s="455"/>
      <c r="L324" s="455"/>
      <c r="M324" s="1404" t="str">
        <f>+IFERROR(VLOOKUP(G324,'S1&amp;2 Lists'!$C$4:$G$200,3,FALSE),"-")</f>
        <v>-</v>
      </c>
      <c r="N324" s="1404" t="str">
        <f t="shared" si="4"/>
        <v>-</v>
      </c>
      <c r="P324" s="1405">
        <f>ROUND(IF(L324='S1&amp;2 Lists'!$CV$3,K324,IF(L324='S1&amp;2 Lists'!$CV$4,K324/'S1&amp;2 Lists'!$CQ$6,0)),3)</f>
        <v>0</v>
      </c>
      <c r="Q324" s="10" t="s">
        <v>12</v>
      </c>
    </row>
    <row r="325" spans="1:17" s="651" customFormat="1">
      <c r="A325" s="455"/>
      <c r="B325" s="455"/>
      <c r="C325" s="652"/>
      <c r="D325" s="455"/>
      <c r="E325" s="653"/>
      <c r="F325" s="455"/>
      <c r="G325" s="647"/>
      <c r="H325" s="455"/>
      <c r="I325" s="653"/>
      <c r="J325" s="455"/>
      <c r="K325" s="455"/>
      <c r="L325" s="455"/>
      <c r="M325" s="1404" t="str">
        <f>+IFERROR(VLOOKUP(G325,'S1&amp;2 Lists'!$C$4:$G$200,3,FALSE),"-")</f>
        <v>-</v>
      </c>
      <c r="N325" s="1404" t="str">
        <f t="shared" si="4"/>
        <v>-</v>
      </c>
      <c r="P325" s="1405">
        <f>ROUND(IF(L325='S1&amp;2 Lists'!$CV$3,K325,IF(L325='S1&amp;2 Lists'!$CV$4,K325/'S1&amp;2 Lists'!$CQ$6,0)),3)</f>
        <v>0</v>
      </c>
      <c r="Q325" s="10" t="s">
        <v>12</v>
      </c>
    </row>
    <row r="326" spans="1:17" s="651" customFormat="1">
      <c r="A326" s="455"/>
      <c r="B326" s="455"/>
      <c r="C326" s="652"/>
      <c r="D326" s="455"/>
      <c r="E326" s="653"/>
      <c r="F326" s="455"/>
      <c r="G326" s="647"/>
      <c r="H326" s="455"/>
      <c r="I326" s="653"/>
      <c r="J326" s="455"/>
      <c r="K326" s="455"/>
      <c r="L326" s="455"/>
      <c r="M326" s="1404" t="str">
        <f>+IFERROR(VLOOKUP(G326,'S1&amp;2 Lists'!$C$4:$G$200,3,FALSE),"-")</f>
        <v>-</v>
      </c>
      <c r="N326" s="1404" t="str">
        <f t="shared" si="4"/>
        <v>-</v>
      </c>
      <c r="P326" s="1405">
        <f>ROUND(IF(L326='S1&amp;2 Lists'!$CV$3,K326,IF(L326='S1&amp;2 Lists'!$CV$4,K326/'S1&amp;2 Lists'!$CQ$6,0)),3)</f>
        <v>0</v>
      </c>
      <c r="Q326" s="10" t="s">
        <v>12</v>
      </c>
    </row>
    <row r="327" spans="1:17" s="651" customFormat="1">
      <c r="A327" s="455"/>
      <c r="B327" s="455"/>
      <c r="C327" s="652"/>
      <c r="D327" s="455"/>
      <c r="E327" s="653"/>
      <c r="F327" s="455"/>
      <c r="G327" s="647"/>
      <c r="H327" s="455"/>
      <c r="I327" s="653"/>
      <c r="J327" s="455"/>
      <c r="K327" s="455"/>
      <c r="L327" s="455"/>
      <c r="M327" s="1404" t="str">
        <f>+IFERROR(VLOOKUP(G327,'S1&amp;2 Lists'!$C$4:$G$200,3,FALSE),"-")</f>
        <v>-</v>
      </c>
      <c r="N327" s="1404" t="str">
        <f t="shared" si="4"/>
        <v>-</v>
      </c>
      <c r="P327" s="1405">
        <f>ROUND(IF(L327='S1&amp;2 Lists'!$CV$3,K327,IF(L327='S1&amp;2 Lists'!$CV$4,K327/'S1&amp;2 Lists'!$CQ$6,0)),3)</f>
        <v>0</v>
      </c>
      <c r="Q327" s="10" t="s">
        <v>12</v>
      </c>
    </row>
    <row r="328" spans="1:17" s="651" customFormat="1">
      <c r="A328" s="455"/>
      <c r="B328" s="455"/>
      <c r="C328" s="652"/>
      <c r="D328" s="455"/>
      <c r="E328" s="653"/>
      <c r="F328" s="455"/>
      <c r="G328" s="647"/>
      <c r="H328" s="455"/>
      <c r="I328" s="653"/>
      <c r="J328" s="455"/>
      <c r="K328" s="455"/>
      <c r="L328" s="455"/>
      <c r="M328" s="1404" t="str">
        <f>+IFERROR(VLOOKUP(G328,'S1&amp;2 Lists'!$C$4:$G$200,3,FALSE),"-")</f>
        <v>-</v>
      </c>
      <c r="N328" s="1404" t="str">
        <f t="shared" si="4"/>
        <v>-</v>
      </c>
      <c r="P328" s="1405">
        <f>ROUND(IF(L328='S1&amp;2 Lists'!$CV$3,K328,IF(L328='S1&amp;2 Lists'!$CV$4,K328/'S1&amp;2 Lists'!$CQ$6,0)),3)</f>
        <v>0</v>
      </c>
      <c r="Q328" s="10" t="s">
        <v>12</v>
      </c>
    </row>
    <row r="329" spans="1:17" s="651" customFormat="1">
      <c r="A329" s="455"/>
      <c r="B329" s="455"/>
      <c r="C329" s="652"/>
      <c r="D329" s="455"/>
      <c r="E329" s="653"/>
      <c r="F329" s="455"/>
      <c r="G329" s="647"/>
      <c r="H329" s="455"/>
      <c r="I329" s="653"/>
      <c r="J329" s="455"/>
      <c r="K329" s="455"/>
      <c r="L329" s="455"/>
      <c r="M329" s="1404" t="str">
        <f>+IFERROR(VLOOKUP(G329,'S1&amp;2 Lists'!$C$4:$G$200,3,FALSE),"-")</f>
        <v>-</v>
      </c>
      <c r="N329" s="1404" t="str">
        <f t="shared" si="4"/>
        <v>-</v>
      </c>
      <c r="P329" s="1405">
        <f>ROUND(IF(L329='S1&amp;2 Lists'!$CV$3,K329,IF(L329='S1&amp;2 Lists'!$CV$4,K329/'S1&amp;2 Lists'!$CQ$6,0)),3)</f>
        <v>0</v>
      </c>
      <c r="Q329" s="10" t="s">
        <v>12</v>
      </c>
    </row>
    <row r="330" spans="1:17" s="651" customFormat="1">
      <c r="A330" s="455"/>
      <c r="B330" s="455"/>
      <c r="C330" s="652"/>
      <c r="D330" s="455"/>
      <c r="E330" s="653"/>
      <c r="F330" s="455"/>
      <c r="G330" s="647"/>
      <c r="H330" s="455"/>
      <c r="I330" s="653"/>
      <c r="J330" s="455"/>
      <c r="K330" s="455"/>
      <c r="L330" s="455"/>
      <c r="M330" s="1404" t="str">
        <f>+IFERROR(VLOOKUP(G330,'S1&amp;2 Lists'!$C$4:$G$200,3,FALSE),"-")</f>
        <v>-</v>
      </c>
      <c r="N330" s="1404" t="str">
        <f t="shared" si="4"/>
        <v>-</v>
      </c>
      <c r="P330" s="1405">
        <f>ROUND(IF(L330='S1&amp;2 Lists'!$CV$3,K330,IF(L330='S1&amp;2 Lists'!$CV$4,K330/'S1&amp;2 Lists'!$CQ$6,0)),3)</f>
        <v>0</v>
      </c>
      <c r="Q330" s="10" t="s">
        <v>12</v>
      </c>
    </row>
    <row r="331" spans="1:17" s="651" customFormat="1">
      <c r="A331" s="455"/>
      <c r="B331" s="455"/>
      <c r="C331" s="652"/>
      <c r="D331" s="455"/>
      <c r="E331" s="653"/>
      <c r="F331" s="455"/>
      <c r="G331" s="647"/>
      <c r="H331" s="455"/>
      <c r="I331" s="653"/>
      <c r="J331" s="455"/>
      <c r="K331" s="455"/>
      <c r="L331" s="455"/>
      <c r="M331" s="1404" t="str">
        <f>+IFERROR(VLOOKUP(G331,'S1&amp;2 Lists'!$C$4:$G$200,3,FALSE),"-")</f>
        <v>-</v>
      </c>
      <c r="N331" s="1404" t="str">
        <f t="shared" ref="N331:N394" si="5">+IFERROR(P331*M331,"-")</f>
        <v>-</v>
      </c>
      <c r="P331" s="1405">
        <f>ROUND(IF(L331='S1&amp;2 Lists'!$CV$3,K331,IF(L331='S1&amp;2 Lists'!$CV$4,K331/'S1&amp;2 Lists'!$CQ$6,0)),3)</f>
        <v>0</v>
      </c>
      <c r="Q331" s="10" t="s">
        <v>12</v>
      </c>
    </row>
    <row r="332" spans="1:17" s="651" customFormat="1">
      <c r="A332" s="455"/>
      <c r="B332" s="455"/>
      <c r="C332" s="652"/>
      <c r="D332" s="455"/>
      <c r="E332" s="653"/>
      <c r="F332" s="455"/>
      <c r="G332" s="647"/>
      <c r="H332" s="455"/>
      <c r="I332" s="653"/>
      <c r="J332" s="455"/>
      <c r="K332" s="455"/>
      <c r="L332" s="455"/>
      <c r="M332" s="1404" t="str">
        <f>+IFERROR(VLOOKUP(G332,'S1&amp;2 Lists'!$C$4:$G$200,3,FALSE),"-")</f>
        <v>-</v>
      </c>
      <c r="N332" s="1404" t="str">
        <f t="shared" si="5"/>
        <v>-</v>
      </c>
      <c r="P332" s="1405">
        <f>ROUND(IF(L332='S1&amp;2 Lists'!$CV$3,K332,IF(L332='S1&amp;2 Lists'!$CV$4,K332/'S1&amp;2 Lists'!$CQ$6,0)),3)</f>
        <v>0</v>
      </c>
      <c r="Q332" s="10" t="s">
        <v>12</v>
      </c>
    </row>
    <row r="333" spans="1:17" s="651" customFormat="1">
      <c r="A333" s="455"/>
      <c r="B333" s="455"/>
      <c r="C333" s="652"/>
      <c r="D333" s="455"/>
      <c r="E333" s="653"/>
      <c r="F333" s="455"/>
      <c r="G333" s="647"/>
      <c r="H333" s="455"/>
      <c r="I333" s="653"/>
      <c r="J333" s="455"/>
      <c r="K333" s="455"/>
      <c r="L333" s="455"/>
      <c r="M333" s="1404" t="str">
        <f>+IFERROR(VLOOKUP(G333,'S1&amp;2 Lists'!$C$4:$G$200,3,FALSE),"-")</f>
        <v>-</v>
      </c>
      <c r="N333" s="1404" t="str">
        <f t="shared" si="5"/>
        <v>-</v>
      </c>
      <c r="P333" s="1405">
        <f>ROUND(IF(L333='S1&amp;2 Lists'!$CV$3,K333,IF(L333='S1&amp;2 Lists'!$CV$4,K333/'S1&amp;2 Lists'!$CQ$6,0)),3)</f>
        <v>0</v>
      </c>
      <c r="Q333" s="10" t="s">
        <v>12</v>
      </c>
    </row>
    <row r="334" spans="1:17" s="651" customFormat="1">
      <c r="A334" s="455"/>
      <c r="B334" s="455"/>
      <c r="C334" s="652"/>
      <c r="D334" s="455"/>
      <c r="E334" s="653"/>
      <c r="F334" s="455"/>
      <c r="G334" s="647"/>
      <c r="H334" s="455"/>
      <c r="I334" s="653"/>
      <c r="J334" s="455"/>
      <c r="K334" s="455"/>
      <c r="L334" s="455"/>
      <c r="M334" s="1404" t="str">
        <f>+IFERROR(VLOOKUP(G334,'S1&amp;2 Lists'!$C$4:$G$200,3,FALSE),"-")</f>
        <v>-</v>
      </c>
      <c r="N334" s="1404" t="str">
        <f t="shared" si="5"/>
        <v>-</v>
      </c>
      <c r="P334" s="1405">
        <f>ROUND(IF(L334='S1&amp;2 Lists'!$CV$3,K334,IF(L334='S1&amp;2 Lists'!$CV$4,K334/'S1&amp;2 Lists'!$CQ$6,0)),3)</f>
        <v>0</v>
      </c>
      <c r="Q334" s="10" t="s">
        <v>12</v>
      </c>
    </row>
    <row r="335" spans="1:17" s="651" customFormat="1">
      <c r="A335" s="455"/>
      <c r="B335" s="455"/>
      <c r="C335" s="652"/>
      <c r="D335" s="455"/>
      <c r="E335" s="653"/>
      <c r="F335" s="455"/>
      <c r="G335" s="647"/>
      <c r="H335" s="455"/>
      <c r="I335" s="653"/>
      <c r="J335" s="455"/>
      <c r="K335" s="455"/>
      <c r="L335" s="455"/>
      <c r="M335" s="1404" t="str">
        <f>+IFERROR(VLOOKUP(G335,'S1&amp;2 Lists'!$C$4:$G$200,3,FALSE),"-")</f>
        <v>-</v>
      </c>
      <c r="N335" s="1404" t="str">
        <f t="shared" si="5"/>
        <v>-</v>
      </c>
      <c r="P335" s="1405">
        <f>ROUND(IF(L335='S1&amp;2 Lists'!$CV$3,K335,IF(L335='S1&amp;2 Lists'!$CV$4,K335/'S1&amp;2 Lists'!$CQ$6,0)),3)</f>
        <v>0</v>
      </c>
      <c r="Q335" s="10" t="s">
        <v>12</v>
      </c>
    </row>
    <row r="336" spans="1:17" s="651" customFormat="1">
      <c r="A336" s="455"/>
      <c r="B336" s="455"/>
      <c r="C336" s="652"/>
      <c r="D336" s="455"/>
      <c r="E336" s="653"/>
      <c r="F336" s="455"/>
      <c r="G336" s="647"/>
      <c r="H336" s="455"/>
      <c r="I336" s="653"/>
      <c r="J336" s="455"/>
      <c r="K336" s="455"/>
      <c r="L336" s="455"/>
      <c r="M336" s="1404" t="str">
        <f>+IFERROR(VLOOKUP(G336,'S1&amp;2 Lists'!$C$4:$G$200,3,FALSE),"-")</f>
        <v>-</v>
      </c>
      <c r="N336" s="1404" t="str">
        <f t="shared" si="5"/>
        <v>-</v>
      </c>
      <c r="P336" s="1405">
        <f>ROUND(IF(L336='S1&amp;2 Lists'!$CV$3,K336,IF(L336='S1&amp;2 Lists'!$CV$4,K336/'S1&amp;2 Lists'!$CQ$6,0)),3)</f>
        <v>0</v>
      </c>
      <c r="Q336" s="10" t="s">
        <v>12</v>
      </c>
    </row>
    <row r="337" spans="1:17" s="651" customFormat="1">
      <c r="A337" s="455"/>
      <c r="B337" s="455"/>
      <c r="C337" s="652"/>
      <c r="D337" s="455"/>
      <c r="E337" s="653"/>
      <c r="F337" s="455"/>
      <c r="G337" s="647"/>
      <c r="H337" s="455"/>
      <c r="I337" s="653"/>
      <c r="J337" s="455"/>
      <c r="K337" s="455"/>
      <c r="L337" s="455"/>
      <c r="M337" s="1404" t="str">
        <f>+IFERROR(VLOOKUP(G337,'S1&amp;2 Lists'!$C$4:$G$200,3,FALSE),"-")</f>
        <v>-</v>
      </c>
      <c r="N337" s="1404" t="str">
        <f t="shared" si="5"/>
        <v>-</v>
      </c>
      <c r="P337" s="1405">
        <f>ROUND(IF(L337='S1&amp;2 Lists'!$CV$3,K337,IF(L337='S1&amp;2 Lists'!$CV$4,K337/'S1&amp;2 Lists'!$CQ$6,0)),3)</f>
        <v>0</v>
      </c>
      <c r="Q337" s="10" t="s">
        <v>12</v>
      </c>
    </row>
    <row r="338" spans="1:17" s="651" customFormat="1">
      <c r="A338" s="455"/>
      <c r="B338" s="455"/>
      <c r="C338" s="652"/>
      <c r="D338" s="455"/>
      <c r="E338" s="653"/>
      <c r="F338" s="455"/>
      <c r="G338" s="647"/>
      <c r="H338" s="455"/>
      <c r="I338" s="653"/>
      <c r="J338" s="455"/>
      <c r="K338" s="455"/>
      <c r="L338" s="455"/>
      <c r="M338" s="1404" t="str">
        <f>+IFERROR(VLOOKUP(G338,'S1&amp;2 Lists'!$C$4:$G$200,3,FALSE),"-")</f>
        <v>-</v>
      </c>
      <c r="N338" s="1404" t="str">
        <f t="shared" si="5"/>
        <v>-</v>
      </c>
      <c r="P338" s="1405">
        <f>ROUND(IF(L338='S1&amp;2 Lists'!$CV$3,K338,IF(L338='S1&amp;2 Lists'!$CV$4,K338/'S1&amp;2 Lists'!$CQ$6,0)),3)</f>
        <v>0</v>
      </c>
      <c r="Q338" s="10" t="s">
        <v>12</v>
      </c>
    </row>
    <row r="339" spans="1:17" s="651" customFormat="1">
      <c r="A339" s="455"/>
      <c r="B339" s="455"/>
      <c r="C339" s="652"/>
      <c r="D339" s="455"/>
      <c r="E339" s="653"/>
      <c r="F339" s="455"/>
      <c r="G339" s="647"/>
      <c r="H339" s="455"/>
      <c r="I339" s="653"/>
      <c r="J339" s="455"/>
      <c r="K339" s="455"/>
      <c r="L339" s="455"/>
      <c r="M339" s="1404" t="str">
        <f>+IFERROR(VLOOKUP(G339,'S1&amp;2 Lists'!$C$4:$G$200,3,FALSE),"-")</f>
        <v>-</v>
      </c>
      <c r="N339" s="1404" t="str">
        <f t="shared" si="5"/>
        <v>-</v>
      </c>
      <c r="P339" s="1405">
        <f>ROUND(IF(L339='S1&amp;2 Lists'!$CV$3,K339,IF(L339='S1&amp;2 Lists'!$CV$4,K339/'S1&amp;2 Lists'!$CQ$6,0)),3)</f>
        <v>0</v>
      </c>
      <c r="Q339" s="10" t="s">
        <v>12</v>
      </c>
    </row>
    <row r="340" spans="1:17" s="651" customFormat="1">
      <c r="A340" s="455"/>
      <c r="B340" s="455"/>
      <c r="C340" s="652"/>
      <c r="D340" s="455"/>
      <c r="E340" s="653"/>
      <c r="F340" s="455"/>
      <c r="G340" s="647"/>
      <c r="H340" s="455"/>
      <c r="I340" s="653"/>
      <c r="J340" s="455"/>
      <c r="K340" s="455"/>
      <c r="L340" s="455"/>
      <c r="M340" s="1404" t="str">
        <f>+IFERROR(VLOOKUP(G340,'S1&amp;2 Lists'!$C$4:$G$200,3,FALSE),"-")</f>
        <v>-</v>
      </c>
      <c r="N340" s="1404" t="str">
        <f t="shared" si="5"/>
        <v>-</v>
      </c>
      <c r="P340" s="1405">
        <f>ROUND(IF(L340='S1&amp;2 Lists'!$CV$3,K340,IF(L340='S1&amp;2 Lists'!$CV$4,K340/'S1&amp;2 Lists'!$CQ$6,0)),3)</f>
        <v>0</v>
      </c>
      <c r="Q340" s="10" t="s">
        <v>12</v>
      </c>
    </row>
    <row r="341" spans="1:17" s="651" customFormat="1">
      <c r="A341" s="455"/>
      <c r="B341" s="455"/>
      <c r="C341" s="652"/>
      <c r="D341" s="455"/>
      <c r="E341" s="653"/>
      <c r="F341" s="455"/>
      <c r="G341" s="647"/>
      <c r="H341" s="455"/>
      <c r="I341" s="653"/>
      <c r="J341" s="455"/>
      <c r="K341" s="455"/>
      <c r="L341" s="455"/>
      <c r="M341" s="1404" t="str">
        <f>+IFERROR(VLOOKUP(G341,'S1&amp;2 Lists'!$C$4:$G$200,3,FALSE),"-")</f>
        <v>-</v>
      </c>
      <c r="N341" s="1404" t="str">
        <f t="shared" si="5"/>
        <v>-</v>
      </c>
      <c r="P341" s="1405">
        <f>ROUND(IF(L341='S1&amp;2 Lists'!$CV$3,K341,IF(L341='S1&amp;2 Lists'!$CV$4,K341/'S1&amp;2 Lists'!$CQ$6,0)),3)</f>
        <v>0</v>
      </c>
      <c r="Q341" s="10" t="s">
        <v>12</v>
      </c>
    </row>
    <row r="342" spans="1:17" s="651" customFormat="1">
      <c r="A342" s="455"/>
      <c r="B342" s="455"/>
      <c r="C342" s="652"/>
      <c r="D342" s="455"/>
      <c r="E342" s="653"/>
      <c r="F342" s="455"/>
      <c r="G342" s="647"/>
      <c r="H342" s="455"/>
      <c r="I342" s="653"/>
      <c r="J342" s="455"/>
      <c r="K342" s="455"/>
      <c r="L342" s="455"/>
      <c r="M342" s="1404" t="str">
        <f>+IFERROR(VLOOKUP(G342,'S1&amp;2 Lists'!$C$4:$G$200,3,FALSE),"-")</f>
        <v>-</v>
      </c>
      <c r="N342" s="1404" t="str">
        <f t="shared" si="5"/>
        <v>-</v>
      </c>
      <c r="P342" s="1405">
        <f>ROUND(IF(L342='S1&amp;2 Lists'!$CV$3,K342,IF(L342='S1&amp;2 Lists'!$CV$4,K342/'S1&amp;2 Lists'!$CQ$6,0)),3)</f>
        <v>0</v>
      </c>
      <c r="Q342" s="10" t="s">
        <v>12</v>
      </c>
    </row>
    <row r="343" spans="1:17" s="651" customFormat="1">
      <c r="A343" s="455"/>
      <c r="B343" s="455"/>
      <c r="C343" s="652"/>
      <c r="D343" s="455"/>
      <c r="E343" s="653"/>
      <c r="F343" s="455"/>
      <c r="G343" s="647"/>
      <c r="H343" s="455"/>
      <c r="I343" s="653"/>
      <c r="J343" s="455"/>
      <c r="K343" s="455"/>
      <c r="L343" s="455"/>
      <c r="M343" s="1404" t="str">
        <f>+IFERROR(VLOOKUP(G343,'S1&amp;2 Lists'!$C$4:$G$200,3,FALSE),"-")</f>
        <v>-</v>
      </c>
      <c r="N343" s="1404" t="str">
        <f t="shared" si="5"/>
        <v>-</v>
      </c>
      <c r="P343" s="1405">
        <f>ROUND(IF(L343='S1&amp;2 Lists'!$CV$3,K343,IF(L343='S1&amp;2 Lists'!$CV$4,K343/'S1&amp;2 Lists'!$CQ$6,0)),3)</f>
        <v>0</v>
      </c>
      <c r="Q343" s="10" t="s">
        <v>12</v>
      </c>
    </row>
    <row r="344" spans="1:17" s="651" customFormat="1">
      <c r="A344" s="455"/>
      <c r="B344" s="455"/>
      <c r="C344" s="652"/>
      <c r="D344" s="455"/>
      <c r="E344" s="653"/>
      <c r="F344" s="455"/>
      <c r="G344" s="647"/>
      <c r="H344" s="455"/>
      <c r="I344" s="653"/>
      <c r="J344" s="455"/>
      <c r="K344" s="455"/>
      <c r="L344" s="455"/>
      <c r="M344" s="1404" t="str">
        <f>+IFERROR(VLOOKUP(G344,'S1&amp;2 Lists'!$C$4:$G$200,3,FALSE),"-")</f>
        <v>-</v>
      </c>
      <c r="N344" s="1404" t="str">
        <f t="shared" si="5"/>
        <v>-</v>
      </c>
      <c r="P344" s="1405">
        <f>ROUND(IF(L344='S1&amp;2 Lists'!$CV$3,K344,IF(L344='S1&amp;2 Lists'!$CV$4,K344/'S1&amp;2 Lists'!$CQ$6,0)),3)</f>
        <v>0</v>
      </c>
      <c r="Q344" s="10" t="s">
        <v>12</v>
      </c>
    </row>
    <row r="345" spans="1:17" s="651" customFormat="1">
      <c r="A345" s="455"/>
      <c r="B345" s="455"/>
      <c r="C345" s="652"/>
      <c r="D345" s="455"/>
      <c r="E345" s="653"/>
      <c r="F345" s="455"/>
      <c r="G345" s="647"/>
      <c r="H345" s="455"/>
      <c r="I345" s="653"/>
      <c r="J345" s="455"/>
      <c r="K345" s="455"/>
      <c r="L345" s="455"/>
      <c r="M345" s="1404" t="str">
        <f>+IFERROR(VLOOKUP(G345,'S1&amp;2 Lists'!$C$4:$G$200,3,FALSE),"-")</f>
        <v>-</v>
      </c>
      <c r="N345" s="1404" t="str">
        <f t="shared" si="5"/>
        <v>-</v>
      </c>
      <c r="P345" s="1405">
        <f>ROUND(IF(L345='S1&amp;2 Lists'!$CV$3,K345,IF(L345='S1&amp;2 Lists'!$CV$4,K345/'S1&amp;2 Lists'!$CQ$6,0)),3)</f>
        <v>0</v>
      </c>
      <c r="Q345" s="10" t="s">
        <v>12</v>
      </c>
    </row>
    <row r="346" spans="1:17" s="651" customFormat="1">
      <c r="A346" s="455"/>
      <c r="B346" s="455"/>
      <c r="C346" s="652"/>
      <c r="D346" s="455"/>
      <c r="E346" s="653"/>
      <c r="F346" s="455"/>
      <c r="G346" s="647"/>
      <c r="H346" s="455"/>
      <c r="I346" s="653"/>
      <c r="J346" s="455"/>
      <c r="K346" s="455"/>
      <c r="L346" s="455"/>
      <c r="M346" s="1404" t="str">
        <f>+IFERROR(VLOOKUP(G346,'S1&amp;2 Lists'!$C$4:$G$200,3,FALSE),"-")</f>
        <v>-</v>
      </c>
      <c r="N346" s="1404" t="str">
        <f t="shared" si="5"/>
        <v>-</v>
      </c>
      <c r="P346" s="1405">
        <f>ROUND(IF(L346='S1&amp;2 Lists'!$CV$3,K346,IF(L346='S1&amp;2 Lists'!$CV$4,K346/'S1&amp;2 Lists'!$CQ$6,0)),3)</f>
        <v>0</v>
      </c>
      <c r="Q346" s="10" t="s">
        <v>12</v>
      </c>
    </row>
    <row r="347" spans="1:17" s="651" customFormat="1">
      <c r="A347" s="455"/>
      <c r="B347" s="455"/>
      <c r="C347" s="652"/>
      <c r="D347" s="455"/>
      <c r="E347" s="653"/>
      <c r="F347" s="455"/>
      <c r="G347" s="647"/>
      <c r="H347" s="455"/>
      <c r="I347" s="653"/>
      <c r="J347" s="455"/>
      <c r="K347" s="455"/>
      <c r="L347" s="455"/>
      <c r="M347" s="1404" t="str">
        <f>+IFERROR(VLOOKUP(G347,'S1&amp;2 Lists'!$C$4:$G$200,3,FALSE),"-")</f>
        <v>-</v>
      </c>
      <c r="N347" s="1404" t="str">
        <f t="shared" si="5"/>
        <v>-</v>
      </c>
      <c r="P347" s="1405">
        <f>ROUND(IF(L347='S1&amp;2 Lists'!$CV$3,K347,IF(L347='S1&amp;2 Lists'!$CV$4,K347/'S1&amp;2 Lists'!$CQ$6,0)),3)</f>
        <v>0</v>
      </c>
      <c r="Q347" s="10" t="s">
        <v>12</v>
      </c>
    </row>
    <row r="348" spans="1:17" s="651" customFormat="1">
      <c r="A348" s="455"/>
      <c r="B348" s="455"/>
      <c r="C348" s="652"/>
      <c r="D348" s="455"/>
      <c r="E348" s="653"/>
      <c r="F348" s="455"/>
      <c r="G348" s="647"/>
      <c r="H348" s="455"/>
      <c r="I348" s="653"/>
      <c r="J348" s="455"/>
      <c r="K348" s="455"/>
      <c r="L348" s="455"/>
      <c r="M348" s="1404" t="str">
        <f>+IFERROR(VLOOKUP(G348,'S1&amp;2 Lists'!$C$4:$G$200,3,FALSE),"-")</f>
        <v>-</v>
      </c>
      <c r="N348" s="1404" t="str">
        <f t="shared" si="5"/>
        <v>-</v>
      </c>
      <c r="P348" s="1405">
        <f>ROUND(IF(L348='S1&amp;2 Lists'!$CV$3,K348,IF(L348='S1&amp;2 Lists'!$CV$4,K348/'S1&amp;2 Lists'!$CQ$6,0)),3)</f>
        <v>0</v>
      </c>
      <c r="Q348" s="10" t="s">
        <v>12</v>
      </c>
    </row>
    <row r="349" spans="1:17" s="651" customFormat="1">
      <c r="A349" s="455"/>
      <c r="B349" s="455"/>
      <c r="C349" s="652"/>
      <c r="D349" s="455"/>
      <c r="E349" s="653"/>
      <c r="F349" s="455"/>
      <c r="G349" s="647"/>
      <c r="H349" s="455"/>
      <c r="I349" s="653"/>
      <c r="J349" s="455"/>
      <c r="K349" s="455"/>
      <c r="L349" s="455"/>
      <c r="M349" s="1404" t="str">
        <f>+IFERROR(VLOOKUP(G349,'S1&amp;2 Lists'!$C$4:$G$200,3,FALSE),"-")</f>
        <v>-</v>
      </c>
      <c r="N349" s="1404" t="str">
        <f t="shared" si="5"/>
        <v>-</v>
      </c>
      <c r="P349" s="1405">
        <f>ROUND(IF(L349='S1&amp;2 Lists'!$CV$3,K349,IF(L349='S1&amp;2 Lists'!$CV$4,K349/'S1&amp;2 Lists'!$CQ$6,0)),3)</f>
        <v>0</v>
      </c>
      <c r="Q349" s="10" t="s">
        <v>12</v>
      </c>
    </row>
    <row r="350" spans="1:17" s="651" customFormat="1">
      <c r="A350" s="455"/>
      <c r="B350" s="455"/>
      <c r="C350" s="652"/>
      <c r="D350" s="455"/>
      <c r="E350" s="653"/>
      <c r="F350" s="455"/>
      <c r="G350" s="647"/>
      <c r="H350" s="455"/>
      <c r="I350" s="653"/>
      <c r="J350" s="455"/>
      <c r="K350" s="455"/>
      <c r="L350" s="455"/>
      <c r="M350" s="1404" t="str">
        <f>+IFERROR(VLOOKUP(G350,'S1&amp;2 Lists'!$C$4:$G$200,3,FALSE),"-")</f>
        <v>-</v>
      </c>
      <c r="N350" s="1404" t="str">
        <f t="shared" si="5"/>
        <v>-</v>
      </c>
      <c r="P350" s="1405">
        <f>ROUND(IF(L350='S1&amp;2 Lists'!$CV$3,K350,IF(L350='S1&amp;2 Lists'!$CV$4,K350/'S1&amp;2 Lists'!$CQ$6,0)),3)</f>
        <v>0</v>
      </c>
      <c r="Q350" s="10" t="s">
        <v>12</v>
      </c>
    </row>
    <row r="351" spans="1:17" s="651" customFormat="1">
      <c r="A351" s="455"/>
      <c r="B351" s="455"/>
      <c r="C351" s="652"/>
      <c r="D351" s="455"/>
      <c r="E351" s="653"/>
      <c r="F351" s="455"/>
      <c r="G351" s="647"/>
      <c r="H351" s="455"/>
      <c r="I351" s="653"/>
      <c r="J351" s="455"/>
      <c r="K351" s="455"/>
      <c r="L351" s="455"/>
      <c r="M351" s="1404" t="str">
        <f>+IFERROR(VLOOKUP(G351,'S1&amp;2 Lists'!$C$4:$G$200,3,FALSE),"-")</f>
        <v>-</v>
      </c>
      <c r="N351" s="1404" t="str">
        <f t="shared" si="5"/>
        <v>-</v>
      </c>
      <c r="P351" s="1405">
        <f>ROUND(IF(L351='S1&amp;2 Lists'!$CV$3,K351,IF(L351='S1&amp;2 Lists'!$CV$4,K351/'S1&amp;2 Lists'!$CQ$6,0)),3)</f>
        <v>0</v>
      </c>
      <c r="Q351" s="10" t="s">
        <v>12</v>
      </c>
    </row>
    <row r="352" spans="1:17" s="651" customFormat="1">
      <c r="A352" s="455"/>
      <c r="B352" s="455"/>
      <c r="C352" s="652"/>
      <c r="D352" s="455"/>
      <c r="E352" s="653"/>
      <c r="F352" s="455"/>
      <c r="G352" s="647"/>
      <c r="H352" s="455"/>
      <c r="I352" s="653"/>
      <c r="J352" s="455"/>
      <c r="K352" s="455"/>
      <c r="L352" s="455"/>
      <c r="M352" s="1404" t="str">
        <f>+IFERROR(VLOOKUP(G352,'S1&amp;2 Lists'!$C$4:$G$200,3,FALSE),"-")</f>
        <v>-</v>
      </c>
      <c r="N352" s="1404" t="str">
        <f t="shared" si="5"/>
        <v>-</v>
      </c>
      <c r="P352" s="1405">
        <f>ROUND(IF(L352='S1&amp;2 Lists'!$CV$3,K352,IF(L352='S1&amp;2 Lists'!$CV$4,K352/'S1&amp;2 Lists'!$CQ$6,0)),3)</f>
        <v>0</v>
      </c>
      <c r="Q352" s="10" t="s">
        <v>12</v>
      </c>
    </row>
    <row r="353" spans="1:17" s="651" customFormat="1">
      <c r="A353" s="455"/>
      <c r="B353" s="455"/>
      <c r="C353" s="652"/>
      <c r="D353" s="455"/>
      <c r="E353" s="653"/>
      <c r="F353" s="455"/>
      <c r="G353" s="647"/>
      <c r="H353" s="455"/>
      <c r="I353" s="653"/>
      <c r="J353" s="455"/>
      <c r="K353" s="455"/>
      <c r="L353" s="455"/>
      <c r="M353" s="1404" t="str">
        <f>+IFERROR(VLOOKUP(G353,'S1&amp;2 Lists'!$C$4:$G$200,3,FALSE),"-")</f>
        <v>-</v>
      </c>
      <c r="N353" s="1404" t="str">
        <f t="shared" si="5"/>
        <v>-</v>
      </c>
      <c r="P353" s="1405">
        <f>ROUND(IF(L353='S1&amp;2 Lists'!$CV$3,K353,IF(L353='S1&amp;2 Lists'!$CV$4,K353/'S1&amp;2 Lists'!$CQ$6,0)),3)</f>
        <v>0</v>
      </c>
      <c r="Q353" s="10" t="s">
        <v>12</v>
      </c>
    </row>
    <row r="354" spans="1:17" s="651" customFormat="1">
      <c r="A354" s="455"/>
      <c r="B354" s="455"/>
      <c r="C354" s="652"/>
      <c r="D354" s="455"/>
      <c r="E354" s="653"/>
      <c r="F354" s="455"/>
      <c r="G354" s="647"/>
      <c r="H354" s="455"/>
      <c r="I354" s="653"/>
      <c r="J354" s="455"/>
      <c r="K354" s="455"/>
      <c r="L354" s="455"/>
      <c r="M354" s="1404" t="str">
        <f>+IFERROR(VLOOKUP(G354,'S1&amp;2 Lists'!$C$4:$G$200,3,FALSE),"-")</f>
        <v>-</v>
      </c>
      <c r="N354" s="1404" t="str">
        <f t="shared" si="5"/>
        <v>-</v>
      </c>
      <c r="P354" s="1405">
        <f>ROUND(IF(L354='S1&amp;2 Lists'!$CV$3,K354,IF(L354='S1&amp;2 Lists'!$CV$4,K354/'S1&amp;2 Lists'!$CQ$6,0)),3)</f>
        <v>0</v>
      </c>
      <c r="Q354" s="10" t="s">
        <v>12</v>
      </c>
    </row>
    <row r="355" spans="1:17" s="651" customFormat="1">
      <c r="A355" s="455"/>
      <c r="B355" s="455"/>
      <c r="C355" s="652"/>
      <c r="D355" s="455"/>
      <c r="E355" s="653"/>
      <c r="F355" s="455"/>
      <c r="G355" s="647"/>
      <c r="H355" s="455"/>
      <c r="I355" s="653"/>
      <c r="J355" s="455"/>
      <c r="K355" s="455"/>
      <c r="L355" s="455"/>
      <c r="M355" s="1404" t="str">
        <f>+IFERROR(VLOOKUP(G355,'S1&amp;2 Lists'!$C$4:$G$200,3,FALSE),"-")</f>
        <v>-</v>
      </c>
      <c r="N355" s="1404" t="str">
        <f t="shared" si="5"/>
        <v>-</v>
      </c>
      <c r="P355" s="1405">
        <f>ROUND(IF(L355='S1&amp;2 Lists'!$CV$3,K355,IF(L355='S1&amp;2 Lists'!$CV$4,K355/'S1&amp;2 Lists'!$CQ$6,0)),3)</f>
        <v>0</v>
      </c>
      <c r="Q355" s="10" t="s">
        <v>12</v>
      </c>
    </row>
    <row r="356" spans="1:17" s="651" customFormat="1">
      <c r="A356" s="455"/>
      <c r="B356" s="455"/>
      <c r="C356" s="652"/>
      <c r="D356" s="455"/>
      <c r="E356" s="653"/>
      <c r="F356" s="455"/>
      <c r="G356" s="647"/>
      <c r="H356" s="455"/>
      <c r="I356" s="653"/>
      <c r="J356" s="455"/>
      <c r="K356" s="455"/>
      <c r="L356" s="455"/>
      <c r="M356" s="1404" t="str">
        <f>+IFERROR(VLOOKUP(G356,'S1&amp;2 Lists'!$C$4:$G$200,3,FALSE),"-")</f>
        <v>-</v>
      </c>
      <c r="N356" s="1404" t="str">
        <f t="shared" si="5"/>
        <v>-</v>
      </c>
      <c r="P356" s="1405">
        <f>ROUND(IF(L356='S1&amp;2 Lists'!$CV$3,K356,IF(L356='S1&amp;2 Lists'!$CV$4,K356/'S1&amp;2 Lists'!$CQ$6,0)),3)</f>
        <v>0</v>
      </c>
      <c r="Q356" s="10" t="s">
        <v>12</v>
      </c>
    </row>
    <row r="357" spans="1:17" s="651" customFormat="1">
      <c r="A357" s="455"/>
      <c r="B357" s="455"/>
      <c r="C357" s="652"/>
      <c r="D357" s="455"/>
      <c r="E357" s="653"/>
      <c r="F357" s="455"/>
      <c r="G357" s="647"/>
      <c r="H357" s="455"/>
      <c r="I357" s="653"/>
      <c r="J357" s="455"/>
      <c r="K357" s="455"/>
      <c r="L357" s="455"/>
      <c r="M357" s="1404" t="str">
        <f>+IFERROR(VLOOKUP(G357,'S1&amp;2 Lists'!$C$4:$G$200,3,FALSE),"-")</f>
        <v>-</v>
      </c>
      <c r="N357" s="1404" t="str">
        <f t="shared" si="5"/>
        <v>-</v>
      </c>
      <c r="P357" s="1405">
        <f>ROUND(IF(L357='S1&amp;2 Lists'!$CV$3,K357,IF(L357='S1&amp;2 Lists'!$CV$4,K357/'S1&amp;2 Lists'!$CQ$6,0)),3)</f>
        <v>0</v>
      </c>
      <c r="Q357" s="10" t="s">
        <v>12</v>
      </c>
    </row>
    <row r="358" spans="1:17" s="651" customFormat="1">
      <c r="A358" s="455"/>
      <c r="B358" s="455"/>
      <c r="C358" s="652"/>
      <c r="D358" s="455"/>
      <c r="E358" s="653"/>
      <c r="F358" s="455"/>
      <c r="G358" s="647"/>
      <c r="H358" s="455"/>
      <c r="I358" s="653"/>
      <c r="J358" s="455"/>
      <c r="K358" s="455"/>
      <c r="L358" s="455"/>
      <c r="M358" s="1404" t="str">
        <f>+IFERROR(VLOOKUP(G358,'S1&amp;2 Lists'!$C$4:$G$200,3,FALSE),"-")</f>
        <v>-</v>
      </c>
      <c r="N358" s="1404" t="str">
        <f t="shared" si="5"/>
        <v>-</v>
      </c>
      <c r="P358" s="1405">
        <f>ROUND(IF(L358='S1&amp;2 Lists'!$CV$3,K358,IF(L358='S1&amp;2 Lists'!$CV$4,K358/'S1&amp;2 Lists'!$CQ$6,0)),3)</f>
        <v>0</v>
      </c>
      <c r="Q358" s="10" t="s">
        <v>12</v>
      </c>
    </row>
    <row r="359" spans="1:17" s="651" customFormat="1">
      <c r="A359" s="455"/>
      <c r="B359" s="455"/>
      <c r="C359" s="652"/>
      <c r="D359" s="455"/>
      <c r="E359" s="653"/>
      <c r="F359" s="455"/>
      <c r="G359" s="647"/>
      <c r="H359" s="455"/>
      <c r="I359" s="653"/>
      <c r="J359" s="455"/>
      <c r="K359" s="455"/>
      <c r="L359" s="455"/>
      <c r="M359" s="1404" t="str">
        <f>+IFERROR(VLOOKUP(G359,'S1&amp;2 Lists'!$C$4:$G$200,3,FALSE),"-")</f>
        <v>-</v>
      </c>
      <c r="N359" s="1404" t="str">
        <f t="shared" si="5"/>
        <v>-</v>
      </c>
      <c r="P359" s="1405">
        <f>ROUND(IF(L359='S1&amp;2 Lists'!$CV$3,K359,IF(L359='S1&amp;2 Lists'!$CV$4,K359/'S1&amp;2 Lists'!$CQ$6,0)),3)</f>
        <v>0</v>
      </c>
      <c r="Q359" s="10" t="s">
        <v>12</v>
      </c>
    </row>
    <row r="360" spans="1:17" s="651" customFormat="1">
      <c r="A360" s="455"/>
      <c r="B360" s="455"/>
      <c r="C360" s="652"/>
      <c r="D360" s="455"/>
      <c r="E360" s="653"/>
      <c r="F360" s="455"/>
      <c r="G360" s="647"/>
      <c r="H360" s="455"/>
      <c r="I360" s="653"/>
      <c r="J360" s="455"/>
      <c r="K360" s="455"/>
      <c r="L360" s="455"/>
      <c r="M360" s="1404" t="str">
        <f>+IFERROR(VLOOKUP(G360,'S1&amp;2 Lists'!$C$4:$G$200,3,FALSE),"-")</f>
        <v>-</v>
      </c>
      <c r="N360" s="1404" t="str">
        <f t="shared" si="5"/>
        <v>-</v>
      </c>
      <c r="P360" s="1405">
        <f>ROUND(IF(L360='S1&amp;2 Lists'!$CV$3,K360,IF(L360='S1&amp;2 Lists'!$CV$4,K360/'S1&amp;2 Lists'!$CQ$6,0)),3)</f>
        <v>0</v>
      </c>
      <c r="Q360" s="10" t="s">
        <v>12</v>
      </c>
    </row>
    <row r="361" spans="1:17" s="651" customFormat="1">
      <c r="A361" s="455"/>
      <c r="B361" s="455"/>
      <c r="C361" s="652"/>
      <c r="D361" s="455"/>
      <c r="E361" s="653"/>
      <c r="F361" s="455"/>
      <c r="G361" s="647"/>
      <c r="H361" s="455"/>
      <c r="I361" s="653"/>
      <c r="J361" s="455"/>
      <c r="K361" s="455"/>
      <c r="L361" s="455"/>
      <c r="M361" s="1404" t="str">
        <f>+IFERROR(VLOOKUP(G361,'S1&amp;2 Lists'!$C$4:$G$200,3,FALSE),"-")</f>
        <v>-</v>
      </c>
      <c r="N361" s="1404" t="str">
        <f t="shared" si="5"/>
        <v>-</v>
      </c>
      <c r="P361" s="1405">
        <f>ROUND(IF(L361='S1&amp;2 Lists'!$CV$3,K361,IF(L361='S1&amp;2 Lists'!$CV$4,K361/'S1&amp;2 Lists'!$CQ$6,0)),3)</f>
        <v>0</v>
      </c>
      <c r="Q361" s="10" t="s">
        <v>12</v>
      </c>
    </row>
    <row r="362" spans="1:17" s="651" customFormat="1">
      <c r="A362" s="455"/>
      <c r="B362" s="455"/>
      <c r="C362" s="652"/>
      <c r="D362" s="455"/>
      <c r="E362" s="653"/>
      <c r="F362" s="455"/>
      <c r="G362" s="647"/>
      <c r="H362" s="455"/>
      <c r="I362" s="653"/>
      <c r="J362" s="455"/>
      <c r="K362" s="455"/>
      <c r="L362" s="455"/>
      <c r="M362" s="1404" t="str">
        <f>+IFERROR(VLOOKUP(G362,'S1&amp;2 Lists'!$C$4:$G$200,3,FALSE),"-")</f>
        <v>-</v>
      </c>
      <c r="N362" s="1404" t="str">
        <f t="shared" si="5"/>
        <v>-</v>
      </c>
      <c r="P362" s="1405">
        <f>ROUND(IF(L362='S1&amp;2 Lists'!$CV$3,K362,IF(L362='S1&amp;2 Lists'!$CV$4,K362/'S1&amp;2 Lists'!$CQ$6,0)),3)</f>
        <v>0</v>
      </c>
      <c r="Q362" s="10" t="s">
        <v>12</v>
      </c>
    </row>
    <row r="363" spans="1:17" s="651" customFormat="1">
      <c r="A363" s="455"/>
      <c r="B363" s="455"/>
      <c r="C363" s="652"/>
      <c r="D363" s="455"/>
      <c r="E363" s="653"/>
      <c r="F363" s="455"/>
      <c r="G363" s="647"/>
      <c r="H363" s="455"/>
      <c r="I363" s="653"/>
      <c r="J363" s="455"/>
      <c r="K363" s="455"/>
      <c r="L363" s="455"/>
      <c r="M363" s="1404" t="str">
        <f>+IFERROR(VLOOKUP(G363,'S1&amp;2 Lists'!$C$4:$G$200,3,FALSE),"-")</f>
        <v>-</v>
      </c>
      <c r="N363" s="1404" t="str">
        <f t="shared" si="5"/>
        <v>-</v>
      </c>
      <c r="P363" s="1405">
        <f>ROUND(IF(L363='S1&amp;2 Lists'!$CV$3,K363,IF(L363='S1&amp;2 Lists'!$CV$4,K363/'S1&amp;2 Lists'!$CQ$6,0)),3)</f>
        <v>0</v>
      </c>
      <c r="Q363" s="10" t="s">
        <v>12</v>
      </c>
    </row>
    <row r="364" spans="1:17" s="651" customFormat="1">
      <c r="A364" s="455"/>
      <c r="B364" s="455"/>
      <c r="C364" s="652"/>
      <c r="D364" s="455"/>
      <c r="E364" s="653"/>
      <c r="F364" s="455"/>
      <c r="G364" s="647"/>
      <c r="H364" s="455"/>
      <c r="I364" s="653"/>
      <c r="J364" s="455"/>
      <c r="K364" s="455"/>
      <c r="L364" s="455"/>
      <c r="M364" s="1404" t="str">
        <f>+IFERROR(VLOOKUP(G364,'S1&amp;2 Lists'!$C$4:$G$200,3,FALSE),"-")</f>
        <v>-</v>
      </c>
      <c r="N364" s="1404" t="str">
        <f t="shared" si="5"/>
        <v>-</v>
      </c>
      <c r="P364" s="1405">
        <f>ROUND(IF(L364='S1&amp;2 Lists'!$CV$3,K364,IF(L364='S1&amp;2 Lists'!$CV$4,K364/'S1&amp;2 Lists'!$CQ$6,0)),3)</f>
        <v>0</v>
      </c>
      <c r="Q364" s="10" t="s">
        <v>12</v>
      </c>
    </row>
    <row r="365" spans="1:17" s="651" customFormat="1">
      <c r="A365" s="455"/>
      <c r="B365" s="455"/>
      <c r="C365" s="652"/>
      <c r="D365" s="455"/>
      <c r="E365" s="653"/>
      <c r="F365" s="455"/>
      <c r="G365" s="647"/>
      <c r="H365" s="455"/>
      <c r="I365" s="653"/>
      <c r="J365" s="455"/>
      <c r="K365" s="455"/>
      <c r="L365" s="455"/>
      <c r="M365" s="1404" t="str">
        <f>+IFERROR(VLOOKUP(G365,'S1&amp;2 Lists'!$C$4:$G$200,3,FALSE),"-")</f>
        <v>-</v>
      </c>
      <c r="N365" s="1404" t="str">
        <f t="shared" si="5"/>
        <v>-</v>
      </c>
      <c r="P365" s="1405">
        <f>ROUND(IF(L365='S1&amp;2 Lists'!$CV$3,K365,IF(L365='S1&amp;2 Lists'!$CV$4,K365/'S1&amp;2 Lists'!$CQ$6,0)),3)</f>
        <v>0</v>
      </c>
      <c r="Q365" s="10" t="s">
        <v>12</v>
      </c>
    </row>
    <row r="366" spans="1:17" s="651" customFormat="1">
      <c r="A366" s="455"/>
      <c r="B366" s="455"/>
      <c r="C366" s="652"/>
      <c r="D366" s="455"/>
      <c r="E366" s="653"/>
      <c r="F366" s="455"/>
      <c r="G366" s="647"/>
      <c r="H366" s="455"/>
      <c r="I366" s="653"/>
      <c r="J366" s="455"/>
      <c r="K366" s="455"/>
      <c r="L366" s="455"/>
      <c r="M366" s="1404" t="str">
        <f>+IFERROR(VLOOKUP(G366,'S1&amp;2 Lists'!$C$4:$G$200,3,FALSE),"-")</f>
        <v>-</v>
      </c>
      <c r="N366" s="1404" t="str">
        <f t="shared" si="5"/>
        <v>-</v>
      </c>
      <c r="P366" s="1405">
        <f>ROUND(IF(L366='S1&amp;2 Lists'!$CV$3,K366,IF(L366='S1&amp;2 Lists'!$CV$4,K366/'S1&amp;2 Lists'!$CQ$6,0)),3)</f>
        <v>0</v>
      </c>
      <c r="Q366" s="10" t="s">
        <v>12</v>
      </c>
    </row>
    <row r="367" spans="1:17" s="651" customFormat="1">
      <c r="A367" s="455"/>
      <c r="B367" s="455"/>
      <c r="C367" s="652"/>
      <c r="D367" s="455"/>
      <c r="E367" s="653"/>
      <c r="F367" s="455"/>
      <c r="G367" s="647"/>
      <c r="H367" s="455"/>
      <c r="I367" s="653"/>
      <c r="J367" s="455"/>
      <c r="K367" s="455"/>
      <c r="L367" s="455"/>
      <c r="M367" s="1404" t="str">
        <f>+IFERROR(VLOOKUP(G367,'S1&amp;2 Lists'!$C$4:$G$200,3,FALSE),"-")</f>
        <v>-</v>
      </c>
      <c r="N367" s="1404" t="str">
        <f t="shared" si="5"/>
        <v>-</v>
      </c>
      <c r="P367" s="1405">
        <f>ROUND(IF(L367='S1&amp;2 Lists'!$CV$3,K367,IF(L367='S1&amp;2 Lists'!$CV$4,K367/'S1&amp;2 Lists'!$CQ$6,0)),3)</f>
        <v>0</v>
      </c>
      <c r="Q367" s="10" t="s">
        <v>12</v>
      </c>
    </row>
    <row r="368" spans="1:17" s="651" customFormat="1">
      <c r="A368" s="455"/>
      <c r="B368" s="455"/>
      <c r="C368" s="652"/>
      <c r="D368" s="455"/>
      <c r="E368" s="653"/>
      <c r="F368" s="455"/>
      <c r="G368" s="647"/>
      <c r="H368" s="455"/>
      <c r="I368" s="653"/>
      <c r="J368" s="455"/>
      <c r="K368" s="455"/>
      <c r="L368" s="455"/>
      <c r="M368" s="1404" t="str">
        <f>+IFERROR(VLOOKUP(G368,'S1&amp;2 Lists'!$C$4:$G$200,3,FALSE),"-")</f>
        <v>-</v>
      </c>
      <c r="N368" s="1404" t="str">
        <f t="shared" si="5"/>
        <v>-</v>
      </c>
      <c r="P368" s="1405">
        <f>ROUND(IF(L368='S1&amp;2 Lists'!$CV$3,K368,IF(L368='S1&amp;2 Lists'!$CV$4,K368/'S1&amp;2 Lists'!$CQ$6,0)),3)</f>
        <v>0</v>
      </c>
      <c r="Q368" s="10" t="s">
        <v>12</v>
      </c>
    </row>
    <row r="369" spans="1:17" s="651" customFormat="1">
      <c r="A369" s="455"/>
      <c r="B369" s="455"/>
      <c r="C369" s="652"/>
      <c r="D369" s="455"/>
      <c r="E369" s="653"/>
      <c r="F369" s="455"/>
      <c r="G369" s="647"/>
      <c r="H369" s="455"/>
      <c r="I369" s="653"/>
      <c r="J369" s="455"/>
      <c r="K369" s="455"/>
      <c r="L369" s="455"/>
      <c r="M369" s="1404" t="str">
        <f>+IFERROR(VLOOKUP(G369,'S1&amp;2 Lists'!$C$4:$G$200,3,FALSE),"-")</f>
        <v>-</v>
      </c>
      <c r="N369" s="1404" t="str">
        <f t="shared" si="5"/>
        <v>-</v>
      </c>
      <c r="P369" s="1405">
        <f>ROUND(IF(L369='S1&amp;2 Lists'!$CV$3,K369,IF(L369='S1&amp;2 Lists'!$CV$4,K369/'S1&amp;2 Lists'!$CQ$6,0)),3)</f>
        <v>0</v>
      </c>
      <c r="Q369" s="10" t="s">
        <v>12</v>
      </c>
    </row>
    <row r="370" spans="1:17" s="651" customFormat="1">
      <c r="A370" s="455"/>
      <c r="B370" s="455"/>
      <c r="C370" s="652"/>
      <c r="D370" s="455"/>
      <c r="E370" s="653"/>
      <c r="F370" s="455"/>
      <c r="G370" s="647"/>
      <c r="H370" s="455"/>
      <c r="I370" s="653"/>
      <c r="J370" s="455"/>
      <c r="K370" s="455"/>
      <c r="L370" s="455"/>
      <c r="M370" s="1404" t="str">
        <f>+IFERROR(VLOOKUP(G370,'S1&amp;2 Lists'!$C$4:$G$200,3,FALSE),"-")</f>
        <v>-</v>
      </c>
      <c r="N370" s="1404" t="str">
        <f t="shared" si="5"/>
        <v>-</v>
      </c>
      <c r="P370" s="1405">
        <f>ROUND(IF(L370='S1&amp;2 Lists'!$CV$3,K370,IF(L370='S1&amp;2 Lists'!$CV$4,K370/'S1&amp;2 Lists'!$CQ$6,0)),3)</f>
        <v>0</v>
      </c>
      <c r="Q370" s="10" t="s">
        <v>12</v>
      </c>
    </row>
    <row r="371" spans="1:17" s="651" customFormat="1">
      <c r="A371" s="455"/>
      <c r="B371" s="455"/>
      <c r="C371" s="652"/>
      <c r="D371" s="455"/>
      <c r="E371" s="653"/>
      <c r="F371" s="455"/>
      <c r="G371" s="647"/>
      <c r="H371" s="455"/>
      <c r="I371" s="653"/>
      <c r="J371" s="455"/>
      <c r="K371" s="455"/>
      <c r="L371" s="455"/>
      <c r="M371" s="1404" t="str">
        <f>+IFERROR(VLOOKUP(G371,'S1&amp;2 Lists'!$C$4:$G$200,3,FALSE),"-")</f>
        <v>-</v>
      </c>
      <c r="N371" s="1404" t="str">
        <f t="shared" si="5"/>
        <v>-</v>
      </c>
      <c r="P371" s="1405">
        <f>ROUND(IF(L371='S1&amp;2 Lists'!$CV$3,K371,IF(L371='S1&amp;2 Lists'!$CV$4,K371/'S1&amp;2 Lists'!$CQ$6,0)),3)</f>
        <v>0</v>
      </c>
      <c r="Q371" s="10" t="s">
        <v>12</v>
      </c>
    </row>
    <row r="372" spans="1:17" s="651" customFormat="1">
      <c r="A372" s="455"/>
      <c r="B372" s="455"/>
      <c r="C372" s="652"/>
      <c r="D372" s="455"/>
      <c r="E372" s="653"/>
      <c r="F372" s="455"/>
      <c r="G372" s="647"/>
      <c r="H372" s="455"/>
      <c r="I372" s="653"/>
      <c r="J372" s="455"/>
      <c r="K372" s="455"/>
      <c r="L372" s="455"/>
      <c r="M372" s="1404" t="str">
        <f>+IFERROR(VLOOKUP(G372,'S1&amp;2 Lists'!$C$4:$G$200,3,FALSE),"-")</f>
        <v>-</v>
      </c>
      <c r="N372" s="1404" t="str">
        <f t="shared" si="5"/>
        <v>-</v>
      </c>
      <c r="P372" s="1405">
        <f>ROUND(IF(L372='S1&amp;2 Lists'!$CV$3,K372,IF(L372='S1&amp;2 Lists'!$CV$4,K372/'S1&amp;2 Lists'!$CQ$6,0)),3)</f>
        <v>0</v>
      </c>
      <c r="Q372" s="10" t="s">
        <v>12</v>
      </c>
    </row>
    <row r="373" spans="1:17" s="651" customFormat="1">
      <c r="A373" s="455"/>
      <c r="B373" s="455"/>
      <c r="C373" s="652"/>
      <c r="D373" s="455"/>
      <c r="E373" s="653"/>
      <c r="F373" s="455"/>
      <c r="G373" s="647"/>
      <c r="H373" s="455"/>
      <c r="I373" s="653"/>
      <c r="J373" s="455"/>
      <c r="K373" s="455"/>
      <c r="L373" s="455"/>
      <c r="M373" s="1404" t="str">
        <f>+IFERROR(VLOOKUP(G373,'S1&amp;2 Lists'!$C$4:$G$200,3,FALSE),"-")</f>
        <v>-</v>
      </c>
      <c r="N373" s="1404" t="str">
        <f t="shared" si="5"/>
        <v>-</v>
      </c>
      <c r="P373" s="1405">
        <f>ROUND(IF(L373='S1&amp;2 Lists'!$CV$3,K373,IF(L373='S1&amp;2 Lists'!$CV$4,K373/'S1&amp;2 Lists'!$CQ$6,0)),3)</f>
        <v>0</v>
      </c>
      <c r="Q373" s="10" t="s">
        <v>12</v>
      </c>
    </row>
    <row r="374" spans="1:17" s="651" customFormat="1">
      <c r="A374" s="455"/>
      <c r="B374" s="455"/>
      <c r="C374" s="652"/>
      <c r="D374" s="455"/>
      <c r="E374" s="653"/>
      <c r="F374" s="455"/>
      <c r="G374" s="647"/>
      <c r="H374" s="455"/>
      <c r="I374" s="653"/>
      <c r="J374" s="455"/>
      <c r="K374" s="455"/>
      <c r="L374" s="455"/>
      <c r="M374" s="1404" t="str">
        <f>+IFERROR(VLOOKUP(G374,'S1&amp;2 Lists'!$C$4:$G$200,3,FALSE),"-")</f>
        <v>-</v>
      </c>
      <c r="N374" s="1404" t="str">
        <f t="shared" si="5"/>
        <v>-</v>
      </c>
      <c r="P374" s="1405">
        <f>ROUND(IF(L374='S1&amp;2 Lists'!$CV$3,K374,IF(L374='S1&amp;2 Lists'!$CV$4,K374/'S1&amp;2 Lists'!$CQ$6,0)),3)</f>
        <v>0</v>
      </c>
      <c r="Q374" s="10" t="s">
        <v>12</v>
      </c>
    </row>
    <row r="375" spans="1:17" s="651" customFormat="1">
      <c r="A375" s="455"/>
      <c r="B375" s="455"/>
      <c r="C375" s="652"/>
      <c r="D375" s="455"/>
      <c r="E375" s="653"/>
      <c r="F375" s="455"/>
      <c r="G375" s="647"/>
      <c r="H375" s="455"/>
      <c r="I375" s="653"/>
      <c r="J375" s="455"/>
      <c r="K375" s="455"/>
      <c r="L375" s="455"/>
      <c r="M375" s="1404" t="str">
        <f>+IFERROR(VLOOKUP(G375,'S1&amp;2 Lists'!$C$4:$G$200,3,FALSE),"-")</f>
        <v>-</v>
      </c>
      <c r="N375" s="1404" t="str">
        <f t="shared" si="5"/>
        <v>-</v>
      </c>
      <c r="P375" s="1405">
        <f>ROUND(IF(L375='S1&amp;2 Lists'!$CV$3,K375,IF(L375='S1&amp;2 Lists'!$CV$4,K375/'S1&amp;2 Lists'!$CQ$6,0)),3)</f>
        <v>0</v>
      </c>
      <c r="Q375" s="10" t="s">
        <v>12</v>
      </c>
    </row>
    <row r="376" spans="1:17" s="651" customFormat="1">
      <c r="A376" s="455"/>
      <c r="B376" s="455"/>
      <c r="C376" s="652"/>
      <c r="D376" s="455"/>
      <c r="E376" s="653"/>
      <c r="F376" s="455"/>
      <c r="G376" s="647"/>
      <c r="H376" s="455"/>
      <c r="I376" s="653"/>
      <c r="J376" s="455"/>
      <c r="K376" s="455"/>
      <c r="L376" s="455"/>
      <c r="M376" s="1404" t="str">
        <f>+IFERROR(VLOOKUP(G376,'S1&amp;2 Lists'!$C$4:$G$200,3,FALSE),"-")</f>
        <v>-</v>
      </c>
      <c r="N376" s="1404" t="str">
        <f t="shared" si="5"/>
        <v>-</v>
      </c>
      <c r="P376" s="1405">
        <f>ROUND(IF(L376='S1&amp;2 Lists'!$CV$3,K376,IF(L376='S1&amp;2 Lists'!$CV$4,K376/'S1&amp;2 Lists'!$CQ$6,0)),3)</f>
        <v>0</v>
      </c>
      <c r="Q376" s="10" t="s">
        <v>12</v>
      </c>
    </row>
    <row r="377" spans="1:17" s="651" customFormat="1">
      <c r="A377" s="455"/>
      <c r="B377" s="455"/>
      <c r="C377" s="652"/>
      <c r="D377" s="455"/>
      <c r="E377" s="653"/>
      <c r="F377" s="455"/>
      <c r="G377" s="647"/>
      <c r="H377" s="455"/>
      <c r="I377" s="653"/>
      <c r="J377" s="455"/>
      <c r="K377" s="455"/>
      <c r="L377" s="455"/>
      <c r="M377" s="1404" t="str">
        <f>+IFERROR(VLOOKUP(G377,'S1&amp;2 Lists'!$C$4:$G$200,3,FALSE),"-")</f>
        <v>-</v>
      </c>
      <c r="N377" s="1404" t="str">
        <f t="shared" si="5"/>
        <v>-</v>
      </c>
      <c r="P377" s="1405">
        <f>ROUND(IF(L377='S1&amp;2 Lists'!$CV$3,K377,IF(L377='S1&amp;2 Lists'!$CV$4,K377/'S1&amp;2 Lists'!$CQ$6,0)),3)</f>
        <v>0</v>
      </c>
      <c r="Q377" s="10" t="s">
        <v>12</v>
      </c>
    </row>
    <row r="378" spans="1:17" s="651" customFormat="1">
      <c r="A378" s="455"/>
      <c r="B378" s="455"/>
      <c r="C378" s="652"/>
      <c r="D378" s="455"/>
      <c r="E378" s="653"/>
      <c r="F378" s="455"/>
      <c r="G378" s="647"/>
      <c r="H378" s="455"/>
      <c r="I378" s="653"/>
      <c r="J378" s="455"/>
      <c r="K378" s="455"/>
      <c r="L378" s="455"/>
      <c r="M378" s="1404" t="str">
        <f>+IFERROR(VLOOKUP(G378,'S1&amp;2 Lists'!$C$4:$G$200,3,FALSE),"-")</f>
        <v>-</v>
      </c>
      <c r="N378" s="1404" t="str">
        <f t="shared" si="5"/>
        <v>-</v>
      </c>
      <c r="P378" s="1405">
        <f>ROUND(IF(L378='S1&amp;2 Lists'!$CV$3,K378,IF(L378='S1&amp;2 Lists'!$CV$4,K378/'S1&amp;2 Lists'!$CQ$6,0)),3)</f>
        <v>0</v>
      </c>
      <c r="Q378" s="10" t="s">
        <v>12</v>
      </c>
    </row>
    <row r="379" spans="1:17" s="651" customFormat="1">
      <c r="A379" s="455"/>
      <c r="B379" s="455"/>
      <c r="C379" s="652"/>
      <c r="D379" s="455"/>
      <c r="E379" s="653"/>
      <c r="F379" s="455"/>
      <c r="G379" s="647"/>
      <c r="H379" s="455"/>
      <c r="I379" s="653"/>
      <c r="J379" s="455"/>
      <c r="K379" s="455"/>
      <c r="L379" s="455"/>
      <c r="M379" s="1404" t="str">
        <f>+IFERROR(VLOOKUP(G379,'S1&amp;2 Lists'!$C$4:$G$200,3,FALSE),"-")</f>
        <v>-</v>
      </c>
      <c r="N379" s="1404" t="str">
        <f t="shared" si="5"/>
        <v>-</v>
      </c>
      <c r="P379" s="1405">
        <f>ROUND(IF(L379='S1&amp;2 Lists'!$CV$3,K379,IF(L379='S1&amp;2 Lists'!$CV$4,K379/'S1&amp;2 Lists'!$CQ$6,0)),3)</f>
        <v>0</v>
      </c>
      <c r="Q379" s="10" t="s">
        <v>12</v>
      </c>
    </row>
    <row r="380" spans="1:17" s="651" customFormat="1">
      <c r="A380" s="455"/>
      <c r="B380" s="455"/>
      <c r="C380" s="652"/>
      <c r="D380" s="455"/>
      <c r="E380" s="653"/>
      <c r="F380" s="455"/>
      <c r="G380" s="647"/>
      <c r="H380" s="455"/>
      <c r="I380" s="653"/>
      <c r="J380" s="455"/>
      <c r="K380" s="455"/>
      <c r="L380" s="455"/>
      <c r="M380" s="1404" t="str">
        <f>+IFERROR(VLOOKUP(G380,'S1&amp;2 Lists'!$C$4:$G$200,3,FALSE),"-")</f>
        <v>-</v>
      </c>
      <c r="N380" s="1404" t="str">
        <f t="shared" si="5"/>
        <v>-</v>
      </c>
      <c r="P380" s="1405">
        <f>ROUND(IF(L380='S1&amp;2 Lists'!$CV$3,K380,IF(L380='S1&amp;2 Lists'!$CV$4,K380/'S1&amp;2 Lists'!$CQ$6,0)),3)</f>
        <v>0</v>
      </c>
      <c r="Q380" s="10" t="s">
        <v>12</v>
      </c>
    </row>
    <row r="381" spans="1:17" s="651" customFormat="1">
      <c r="A381" s="455"/>
      <c r="B381" s="455"/>
      <c r="C381" s="652"/>
      <c r="D381" s="455"/>
      <c r="E381" s="653"/>
      <c r="F381" s="455"/>
      <c r="G381" s="647"/>
      <c r="H381" s="455"/>
      <c r="I381" s="653"/>
      <c r="J381" s="455"/>
      <c r="K381" s="455"/>
      <c r="L381" s="455"/>
      <c r="M381" s="1404" t="str">
        <f>+IFERROR(VLOOKUP(G381,'S1&amp;2 Lists'!$C$4:$G$200,3,FALSE),"-")</f>
        <v>-</v>
      </c>
      <c r="N381" s="1404" t="str">
        <f t="shared" si="5"/>
        <v>-</v>
      </c>
      <c r="P381" s="1405">
        <f>ROUND(IF(L381='S1&amp;2 Lists'!$CV$3,K381,IF(L381='S1&amp;2 Lists'!$CV$4,K381/'S1&amp;2 Lists'!$CQ$6,0)),3)</f>
        <v>0</v>
      </c>
      <c r="Q381" s="10" t="s">
        <v>12</v>
      </c>
    </row>
    <row r="382" spans="1:17" s="651" customFormat="1">
      <c r="A382" s="455"/>
      <c r="B382" s="455"/>
      <c r="C382" s="652"/>
      <c r="D382" s="455"/>
      <c r="E382" s="653"/>
      <c r="F382" s="455"/>
      <c r="G382" s="647"/>
      <c r="H382" s="455"/>
      <c r="I382" s="653"/>
      <c r="J382" s="455"/>
      <c r="K382" s="455"/>
      <c r="L382" s="455"/>
      <c r="M382" s="1404" t="str">
        <f>+IFERROR(VLOOKUP(G382,'S1&amp;2 Lists'!$C$4:$G$200,3,FALSE),"-")</f>
        <v>-</v>
      </c>
      <c r="N382" s="1404" t="str">
        <f t="shared" si="5"/>
        <v>-</v>
      </c>
      <c r="P382" s="1405">
        <f>ROUND(IF(L382='S1&amp;2 Lists'!$CV$3,K382,IF(L382='S1&amp;2 Lists'!$CV$4,K382/'S1&amp;2 Lists'!$CQ$6,0)),3)</f>
        <v>0</v>
      </c>
      <c r="Q382" s="10" t="s">
        <v>12</v>
      </c>
    </row>
    <row r="383" spans="1:17" s="651" customFormat="1">
      <c r="A383" s="455"/>
      <c r="B383" s="455"/>
      <c r="C383" s="652"/>
      <c r="D383" s="455"/>
      <c r="E383" s="653"/>
      <c r="F383" s="455"/>
      <c r="G383" s="647"/>
      <c r="H383" s="455"/>
      <c r="I383" s="653"/>
      <c r="J383" s="455"/>
      <c r="K383" s="455"/>
      <c r="L383" s="455"/>
      <c r="M383" s="1404" t="str">
        <f>+IFERROR(VLOOKUP(G383,'S1&amp;2 Lists'!$C$4:$G$200,3,FALSE),"-")</f>
        <v>-</v>
      </c>
      <c r="N383" s="1404" t="str">
        <f t="shared" si="5"/>
        <v>-</v>
      </c>
      <c r="P383" s="1405">
        <f>ROUND(IF(L383='S1&amp;2 Lists'!$CV$3,K383,IF(L383='S1&amp;2 Lists'!$CV$4,K383/'S1&amp;2 Lists'!$CQ$6,0)),3)</f>
        <v>0</v>
      </c>
      <c r="Q383" s="10" t="s">
        <v>12</v>
      </c>
    </row>
    <row r="384" spans="1:17" s="651" customFormat="1">
      <c r="A384" s="455"/>
      <c r="B384" s="455"/>
      <c r="C384" s="652"/>
      <c r="D384" s="455"/>
      <c r="E384" s="653"/>
      <c r="F384" s="455"/>
      <c r="G384" s="647"/>
      <c r="H384" s="455"/>
      <c r="I384" s="653"/>
      <c r="J384" s="455"/>
      <c r="K384" s="455"/>
      <c r="L384" s="455"/>
      <c r="M384" s="1404" t="str">
        <f>+IFERROR(VLOOKUP(G384,'S1&amp;2 Lists'!$C$4:$G$200,3,FALSE),"-")</f>
        <v>-</v>
      </c>
      <c r="N384" s="1404" t="str">
        <f t="shared" si="5"/>
        <v>-</v>
      </c>
      <c r="P384" s="1405">
        <f>ROUND(IF(L384='S1&amp;2 Lists'!$CV$3,K384,IF(L384='S1&amp;2 Lists'!$CV$4,K384/'S1&amp;2 Lists'!$CQ$6,0)),3)</f>
        <v>0</v>
      </c>
      <c r="Q384" s="10" t="s">
        <v>12</v>
      </c>
    </row>
    <row r="385" spans="1:17" s="651" customFormat="1">
      <c r="A385" s="455"/>
      <c r="B385" s="455"/>
      <c r="C385" s="652"/>
      <c r="D385" s="455"/>
      <c r="E385" s="653"/>
      <c r="F385" s="455"/>
      <c r="G385" s="647"/>
      <c r="H385" s="455"/>
      <c r="I385" s="653"/>
      <c r="J385" s="455"/>
      <c r="K385" s="455"/>
      <c r="L385" s="455"/>
      <c r="M385" s="1404" t="str">
        <f>+IFERROR(VLOOKUP(G385,'S1&amp;2 Lists'!$C$4:$G$200,3,FALSE),"-")</f>
        <v>-</v>
      </c>
      <c r="N385" s="1404" t="str">
        <f t="shared" si="5"/>
        <v>-</v>
      </c>
      <c r="P385" s="1405">
        <f>ROUND(IF(L385='S1&amp;2 Lists'!$CV$3,K385,IF(L385='S1&amp;2 Lists'!$CV$4,K385/'S1&amp;2 Lists'!$CQ$6,0)),3)</f>
        <v>0</v>
      </c>
      <c r="Q385" s="10" t="s">
        <v>12</v>
      </c>
    </row>
    <row r="386" spans="1:17" s="651" customFormat="1">
      <c r="A386" s="455"/>
      <c r="B386" s="455"/>
      <c r="C386" s="652"/>
      <c r="D386" s="455"/>
      <c r="E386" s="653"/>
      <c r="F386" s="455"/>
      <c r="G386" s="647"/>
      <c r="H386" s="455"/>
      <c r="I386" s="653"/>
      <c r="J386" s="455"/>
      <c r="K386" s="455"/>
      <c r="L386" s="455"/>
      <c r="M386" s="1404" t="str">
        <f>+IFERROR(VLOOKUP(G386,'S1&amp;2 Lists'!$C$4:$G$200,3,FALSE),"-")</f>
        <v>-</v>
      </c>
      <c r="N386" s="1404" t="str">
        <f t="shared" si="5"/>
        <v>-</v>
      </c>
      <c r="P386" s="1405">
        <f>ROUND(IF(L386='S1&amp;2 Lists'!$CV$3,K386,IF(L386='S1&amp;2 Lists'!$CV$4,K386/'S1&amp;2 Lists'!$CQ$6,0)),3)</f>
        <v>0</v>
      </c>
      <c r="Q386" s="10" t="s">
        <v>12</v>
      </c>
    </row>
    <row r="387" spans="1:17" s="651" customFormat="1">
      <c r="A387" s="455"/>
      <c r="B387" s="455"/>
      <c r="C387" s="652"/>
      <c r="D387" s="455"/>
      <c r="E387" s="653"/>
      <c r="F387" s="455"/>
      <c r="G387" s="647"/>
      <c r="H387" s="455"/>
      <c r="I387" s="653"/>
      <c r="J387" s="455"/>
      <c r="K387" s="455"/>
      <c r="L387" s="455"/>
      <c r="M387" s="1404" t="str">
        <f>+IFERROR(VLOOKUP(G387,'S1&amp;2 Lists'!$C$4:$G$200,3,FALSE),"-")</f>
        <v>-</v>
      </c>
      <c r="N387" s="1404" t="str">
        <f t="shared" si="5"/>
        <v>-</v>
      </c>
      <c r="P387" s="1405">
        <f>ROUND(IF(L387='S1&amp;2 Lists'!$CV$3,K387,IF(L387='S1&amp;2 Lists'!$CV$4,K387/'S1&amp;2 Lists'!$CQ$6,0)),3)</f>
        <v>0</v>
      </c>
      <c r="Q387" s="10" t="s">
        <v>12</v>
      </c>
    </row>
    <row r="388" spans="1:17" s="651" customFormat="1">
      <c r="A388" s="455"/>
      <c r="B388" s="455"/>
      <c r="C388" s="652"/>
      <c r="D388" s="455"/>
      <c r="E388" s="653"/>
      <c r="F388" s="455"/>
      <c r="G388" s="647"/>
      <c r="H388" s="455"/>
      <c r="I388" s="653"/>
      <c r="J388" s="455"/>
      <c r="K388" s="455"/>
      <c r="L388" s="455"/>
      <c r="M388" s="1404" t="str">
        <f>+IFERROR(VLOOKUP(G388,'S1&amp;2 Lists'!$C$4:$G$200,3,FALSE),"-")</f>
        <v>-</v>
      </c>
      <c r="N388" s="1404" t="str">
        <f t="shared" si="5"/>
        <v>-</v>
      </c>
      <c r="P388" s="1405">
        <f>ROUND(IF(L388='S1&amp;2 Lists'!$CV$3,K388,IF(L388='S1&amp;2 Lists'!$CV$4,K388/'S1&amp;2 Lists'!$CQ$6,0)),3)</f>
        <v>0</v>
      </c>
      <c r="Q388" s="10" t="s">
        <v>12</v>
      </c>
    </row>
    <row r="389" spans="1:17" s="651" customFormat="1">
      <c r="A389" s="455"/>
      <c r="B389" s="455"/>
      <c r="C389" s="652"/>
      <c r="D389" s="455"/>
      <c r="E389" s="653"/>
      <c r="F389" s="455"/>
      <c r="G389" s="647"/>
      <c r="H389" s="455"/>
      <c r="I389" s="653"/>
      <c r="J389" s="455"/>
      <c r="K389" s="455"/>
      <c r="L389" s="455"/>
      <c r="M389" s="1404" t="str">
        <f>+IFERROR(VLOOKUP(G389,'S1&amp;2 Lists'!$C$4:$G$200,3,FALSE),"-")</f>
        <v>-</v>
      </c>
      <c r="N389" s="1404" t="str">
        <f t="shared" si="5"/>
        <v>-</v>
      </c>
      <c r="P389" s="1405">
        <f>ROUND(IF(L389='S1&amp;2 Lists'!$CV$3,K389,IF(L389='S1&amp;2 Lists'!$CV$4,K389/'S1&amp;2 Lists'!$CQ$6,0)),3)</f>
        <v>0</v>
      </c>
      <c r="Q389" s="10" t="s">
        <v>12</v>
      </c>
    </row>
    <row r="390" spans="1:17" s="651" customFormat="1">
      <c r="A390" s="455"/>
      <c r="B390" s="455"/>
      <c r="C390" s="652"/>
      <c r="D390" s="455"/>
      <c r="E390" s="653"/>
      <c r="F390" s="455"/>
      <c r="G390" s="647"/>
      <c r="H390" s="455"/>
      <c r="I390" s="653"/>
      <c r="J390" s="455"/>
      <c r="K390" s="455"/>
      <c r="L390" s="455"/>
      <c r="M390" s="1404" t="str">
        <f>+IFERROR(VLOOKUP(G390,'S1&amp;2 Lists'!$C$4:$G$200,3,FALSE),"-")</f>
        <v>-</v>
      </c>
      <c r="N390" s="1404" t="str">
        <f t="shared" si="5"/>
        <v>-</v>
      </c>
      <c r="P390" s="1405">
        <f>ROUND(IF(L390='S1&amp;2 Lists'!$CV$3,K390,IF(L390='S1&amp;2 Lists'!$CV$4,K390/'S1&amp;2 Lists'!$CQ$6,0)),3)</f>
        <v>0</v>
      </c>
      <c r="Q390" s="10" t="s">
        <v>12</v>
      </c>
    </row>
    <row r="391" spans="1:17" s="651" customFormat="1">
      <c r="A391" s="455"/>
      <c r="B391" s="455"/>
      <c r="C391" s="652"/>
      <c r="D391" s="455"/>
      <c r="E391" s="653"/>
      <c r="F391" s="455"/>
      <c r="G391" s="647"/>
      <c r="H391" s="455"/>
      <c r="I391" s="653"/>
      <c r="J391" s="455"/>
      <c r="K391" s="455"/>
      <c r="L391" s="455"/>
      <c r="M391" s="1404" t="str">
        <f>+IFERROR(VLOOKUP(G391,'S1&amp;2 Lists'!$C$4:$G$200,3,FALSE),"-")</f>
        <v>-</v>
      </c>
      <c r="N391" s="1404" t="str">
        <f t="shared" si="5"/>
        <v>-</v>
      </c>
      <c r="P391" s="1405">
        <f>ROUND(IF(L391='S1&amp;2 Lists'!$CV$3,K391,IF(L391='S1&amp;2 Lists'!$CV$4,K391/'S1&amp;2 Lists'!$CQ$6,0)),3)</f>
        <v>0</v>
      </c>
      <c r="Q391" s="10" t="s">
        <v>12</v>
      </c>
    </row>
    <row r="392" spans="1:17" s="651" customFormat="1">
      <c r="A392" s="455"/>
      <c r="B392" s="455"/>
      <c r="C392" s="652"/>
      <c r="D392" s="455"/>
      <c r="E392" s="653"/>
      <c r="F392" s="455"/>
      <c r="G392" s="647"/>
      <c r="H392" s="455"/>
      <c r="I392" s="653"/>
      <c r="J392" s="455"/>
      <c r="K392" s="455"/>
      <c r="L392" s="455"/>
      <c r="M392" s="1404" t="str">
        <f>+IFERROR(VLOOKUP(G392,'S1&amp;2 Lists'!$C$4:$G$200,3,FALSE),"-")</f>
        <v>-</v>
      </c>
      <c r="N392" s="1404" t="str">
        <f t="shared" si="5"/>
        <v>-</v>
      </c>
      <c r="P392" s="1405">
        <f>ROUND(IF(L392='S1&amp;2 Lists'!$CV$3,K392,IF(L392='S1&amp;2 Lists'!$CV$4,K392/'S1&amp;2 Lists'!$CQ$6,0)),3)</f>
        <v>0</v>
      </c>
      <c r="Q392" s="10" t="s">
        <v>12</v>
      </c>
    </row>
    <row r="393" spans="1:17" s="651" customFormat="1">
      <c r="A393" s="455"/>
      <c r="B393" s="455"/>
      <c r="C393" s="652"/>
      <c r="D393" s="455"/>
      <c r="E393" s="653"/>
      <c r="F393" s="455"/>
      <c r="G393" s="647"/>
      <c r="H393" s="455"/>
      <c r="I393" s="653"/>
      <c r="J393" s="455"/>
      <c r="K393" s="455"/>
      <c r="L393" s="455"/>
      <c r="M393" s="1404" t="str">
        <f>+IFERROR(VLOOKUP(G393,'S1&amp;2 Lists'!$C$4:$G$200,3,FALSE),"-")</f>
        <v>-</v>
      </c>
      <c r="N393" s="1404" t="str">
        <f t="shared" si="5"/>
        <v>-</v>
      </c>
      <c r="P393" s="1405">
        <f>ROUND(IF(L393='S1&amp;2 Lists'!$CV$3,K393,IF(L393='S1&amp;2 Lists'!$CV$4,K393/'S1&amp;2 Lists'!$CQ$6,0)),3)</f>
        <v>0</v>
      </c>
      <c r="Q393" s="10" t="s">
        <v>12</v>
      </c>
    </row>
    <row r="394" spans="1:17" s="651" customFormat="1">
      <c r="A394" s="455"/>
      <c r="B394" s="455"/>
      <c r="C394" s="652"/>
      <c r="D394" s="455"/>
      <c r="E394" s="653"/>
      <c r="F394" s="455"/>
      <c r="G394" s="647"/>
      <c r="H394" s="455"/>
      <c r="I394" s="653"/>
      <c r="J394" s="455"/>
      <c r="K394" s="455"/>
      <c r="L394" s="455"/>
      <c r="M394" s="1404" t="str">
        <f>+IFERROR(VLOOKUP(G394,'S1&amp;2 Lists'!$C$4:$G$200,3,FALSE),"-")</f>
        <v>-</v>
      </c>
      <c r="N394" s="1404" t="str">
        <f t="shared" si="5"/>
        <v>-</v>
      </c>
      <c r="P394" s="1405">
        <f>ROUND(IF(L394='S1&amp;2 Lists'!$CV$3,K394,IF(L394='S1&amp;2 Lists'!$CV$4,K394/'S1&amp;2 Lists'!$CQ$6,0)),3)</f>
        <v>0</v>
      </c>
      <c r="Q394" s="10" t="s">
        <v>12</v>
      </c>
    </row>
    <row r="395" spans="1:17" s="651" customFormat="1">
      <c r="A395" s="455"/>
      <c r="B395" s="455"/>
      <c r="C395" s="652"/>
      <c r="D395" s="455"/>
      <c r="E395" s="653"/>
      <c r="F395" s="455"/>
      <c r="G395" s="647"/>
      <c r="H395" s="455"/>
      <c r="I395" s="653"/>
      <c r="J395" s="455"/>
      <c r="K395" s="455"/>
      <c r="L395" s="455"/>
      <c r="M395" s="1404" t="str">
        <f>+IFERROR(VLOOKUP(G395,'S1&amp;2 Lists'!$C$4:$G$200,3,FALSE),"-")</f>
        <v>-</v>
      </c>
      <c r="N395" s="1404" t="str">
        <f t="shared" ref="N395:N458" si="6">+IFERROR(P395*M395,"-")</f>
        <v>-</v>
      </c>
      <c r="P395" s="1405">
        <f>ROUND(IF(L395='S1&amp;2 Lists'!$CV$3,K395,IF(L395='S1&amp;2 Lists'!$CV$4,K395/'S1&amp;2 Lists'!$CQ$6,0)),3)</f>
        <v>0</v>
      </c>
      <c r="Q395" s="10" t="s">
        <v>12</v>
      </c>
    </row>
    <row r="396" spans="1:17" s="651" customFormat="1">
      <c r="A396" s="455"/>
      <c r="B396" s="455"/>
      <c r="C396" s="652"/>
      <c r="D396" s="455"/>
      <c r="E396" s="653"/>
      <c r="F396" s="455"/>
      <c r="G396" s="647"/>
      <c r="H396" s="455"/>
      <c r="I396" s="653"/>
      <c r="J396" s="455"/>
      <c r="K396" s="455"/>
      <c r="L396" s="455"/>
      <c r="M396" s="1404" t="str">
        <f>+IFERROR(VLOOKUP(G396,'S1&amp;2 Lists'!$C$4:$G$200,3,FALSE),"-")</f>
        <v>-</v>
      </c>
      <c r="N396" s="1404" t="str">
        <f t="shared" si="6"/>
        <v>-</v>
      </c>
      <c r="P396" s="1405">
        <f>ROUND(IF(L396='S1&amp;2 Lists'!$CV$3,K396,IF(L396='S1&amp;2 Lists'!$CV$4,K396/'S1&amp;2 Lists'!$CQ$6,0)),3)</f>
        <v>0</v>
      </c>
      <c r="Q396" s="10" t="s">
        <v>12</v>
      </c>
    </row>
    <row r="397" spans="1:17" s="651" customFormat="1">
      <c r="A397" s="455"/>
      <c r="B397" s="455"/>
      <c r="C397" s="652"/>
      <c r="D397" s="455"/>
      <c r="E397" s="653"/>
      <c r="F397" s="455"/>
      <c r="G397" s="647"/>
      <c r="H397" s="455"/>
      <c r="I397" s="653"/>
      <c r="J397" s="455"/>
      <c r="K397" s="455"/>
      <c r="L397" s="455"/>
      <c r="M397" s="1404" t="str">
        <f>+IFERROR(VLOOKUP(G397,'S1&amp;2 Lists'!$C$4:$G$200,3,FALSE),"-")</f>
        <v>-</v>
      </c>
      <c r="N397" s="1404" t="str">
        <f t="shared" si="6"/>
        <v>-</v>
      </c>
      <c r="P397" s="1405">
        <f>ROUND(IF(L397='S1&amp;2 Lists'!$CV$3,K397,IF(L397='S1&amp;2 Lists'!$CV$4,K397/'S1&amp;2 Lists'!$CQ$6,0)),3)</f>
        <v>0</v>
      </c>
      <c r="Q397" s="10" t="s">
        <v>12</v>
      </c>
    </row>
    <row r="398" spans="1:17" s="651" customFormat="1">
      <c r="A398" s="455"/>
      <c r="B398" s="455"/>
      <c r="C398" s="652"/>
      <c r="D398" s="455"/>
      <c r="E398" s="653"/>
      <c r="F398" s="455"/>
      <c r="G398" s="647"/>
      <c r="H398" s="455"/>
      <c r="I398" s="653"/>
      <c r="J398" s="455"/>
      <c r="K398" s="455"/>
      <c r="L398" s="455"/>
      <c r="M398" s="1404" t="str">
        <f>+IFERROR(VLOOKUP(G398,'S1&amp;2 Lists'!$C$4:$G$200,3,FALSE),"-")</f>
        <v>-</v>
      </c>
      <c r="N398" s="1404" t="str">
        <f t="shared" si="6"/>
        <v>-</v>
      </c>
      <c r="P398" s="1405">
        <f>ROUND(IF(L398='S1&amp;2 Lists'!$CV$3,K398,IF(L398='S1&amp;2 Lists'!$CV$4,K398/'S1&amp;2 Lists'!$CQ$6,0)),3)</f>
        <v>0</v>
      </c>
      <c r="Q398" s="10" t="s">
        <v>12</v>
      </c>
    </row>
    <row r="399" spans="1:17" s="651" customFormat="1">
      <c r="A399" s="455"/>
      <c r="B399" s="455"/>
      <c r="C399" s="652"/>
      <c r="D399" s="455"/>
      <c r="E399" s="653"/>
      <c r="F399" s="455"/>
      <c r="G399" s="647"/>
      <c r="H399" s="455"/>
      <c r="I399" s="653"/>
      <c r="J399" s="455"/>
      <c r="K399" s="455"/>
      <c r="L399" s="455"/>
      <c r="M399" s="1404" t="str">
        <f>+IFERROR(VLOOKUP(G399,'S1&amp;2 Lists'!$C$4:$G$200,3,FALSE),"-")</f>
        <v>-</v>
      </c>
      <c r="N399" s="1404" t="str">
        <f t="shared" si="6"/>
        <v>-</v>
      </c>
      <c r="P399" s="1405">
        <f>ROUND(IF(L399='S1&amp;2 Lists'!$CV$3,K399,IF(L399='S1&amp;2 Lists'!$CV$4,K399/'S1&amp;2 Lists'!$CQ$6,0)),3)</f>
        <v>0</v>
      </c>
      <c r="Q399" s="10" t="s">
        <v>12</v>
      </c>
    </row>
    <row r="400" spans="1:17" s="651" customFormat="1">
      <c r="A400" s="455"/>
      <c r="B400" s="455"/>
      <c r="C400" s="652"/>
      <c r="D400" s="455"/>
      <c r="E400" s="653"/>
      <c r="F400" s="455"/>
      <c r="G400" s="647"/>
      <c r="H400" s="455"/>
      <c r="I400" s="653"/>
      <c r="J400" s="455"/>
      <c r="K400" s="455"/>
      <c r="L400" s="455"/>
      <c r="M400" s="1404" t="str">
        <f>+IFERROR(VLOOKUP(G400,'S1&amp;2 Lists'!$C$4:$G$200,3,FALSE),"-")</f>
        <v>-</v>
      </c>
      <c r="N400" s="1404" t="str">
        <f t="shared" si="6"/>
        <v>-</v>
      </c>
      <c r="P400" s="1405">
        <f>ROUND(IF(L400='S1&amp;2 Lists'!$CV$3,K400,IF(L400='S1&amp;2 Lists'!$CV$4,K400/'S1&amp;2 Lists'!$CQ$6,0)),3)</f>
        <v>0</v>
      </c>
      <c r="Q400" s="10" t="s">
        <v>12</v>
      </c>
    </row>
    <row r="401" spans="1:17" s="651" customFormat="1">
      <c r="A401" s="455"/>
      <c r="B401" s="455"/>
      <c r="C401" s="652"/>
      <c r="D401" s="455"/>
      <c r="E401" s="653"/>
      <c r="F401" s="455"/>
      <c r="G401" s="647"/>
      <c r="H401" s="455"/>
      <c r="I401" s="653"/>
      <c r="J401" s="455"/>
      <c r="K401" s="455"/>
      <c r="L401" s="455"/>
      <c r="M401" s="1404" t="str">
        <f>+IFERROR(VLOOKUP(G401,'S1&amp;2 Lists'!$C$4:$G$200,3,FALSE),"-")</f>
        <v>-</v>
      </c>
      <c r="N401" s="1404" t="str">
        <f t="shared" si="6"/>
        <v>-</v>
      </c>
      <c r="P401" s="1405">
        <f>ROUND(IF(L401='S1&amp;2 Lists'!$CV$3,K401,IF(L401='S1&amp;2 Lists'!$CV$4,K401/'S1&amp;2 Lists'!$CQ$6,0)),3)</f>
        <v>0</v>
      </c>
      <c r="Q401" s="10" t="s">
        <v>12</v>
      </c>
    </row>
    <row r="402" spans="1:17" s="651" customFormat="1">
      <c r="A402" s="455"/>
      <c r="B402" s="455"/>
      <c r="C402" s="652"/>
      <c r="D402" s="455"/>
      <c r="E402" s="653"/>
      <c r="F402" s="455"/>
      <c r="G402" s="647"/>
      <c r="H402" s="455"/>
      <c r="I402" s="653"/>
      <c r="J402" s="455"/>
      <c r="K402" s="455"/>
      <c r="L402" s="455"/>
      <c r="M402" s="1404" t="str">
        <f>+IFERROR(VLOOKUP(G402,'S1&amp;2 Lists'!$C$4:$G$200,3,FALSE),"-")</f>
        <v>-</v>
      </c>
      <c r="N402" s="1404" t="str">
        <f t="shared" si="6"/>
        <v>-</v>
      </c>
      <c r="P402" s="1405">
        <f>ROUND(IF(L402='S1&amp;2 Lists'!$CV$3,K402,IF(L402='S1&amp;2 Lists'!$CV$4,K402/'S1&amp;2 Lists'!$CQ$6,0)),3)</f>
        <v>0</v>
      </c>
      <c r="Q402" s="10" t="s">
        <v>12</v>
      </c>
    </row>
    <row r="403" spans="1:17" s="651" customFormat="1">
      <c r="A403" s="455"/>
      <c r="B403" s="455"/>
      <c r="C403" s="652"/>
      <c r="D403" s="455"/>
      <c r="E403" s="653"/>
      <c r="F403" s="455"/>
      <c r="G403" s="647"/>
      <c r="H403" s="455"/>
      <c r="I403" s="653"/>
      <c r="J403" s="455"/>
      <c r="K403" s="455"/>
      <c r="L403" s="455"/>
      <c r="M403" s="1404" t="str">
        <f>+IFERROR(VLOOKUP(G403,'S1&amp;2 Lists'!$C$4:$G$200,3,FALSE),"-")</f>
        <v>-</v>
      </c>
      <c r="N403" s="1404" t="str">
        <f t="shared" si="6"/>
        <v>-</v>
      </c>
      <c r="P403" s="1405">
        <f>ROUND(IF(L403='S1&amp;2 Lists'!$CV$3,K403,IF(L403='S1&amp;2 Lists'!$CV$4,K403/'S1&amp;2 Lists'!$CQ$6,0)),3)</f>
        <v>0</v>
      </c>
      <c r="Q403" s="10" t="s">
        <v>12</v>
      </c>
    </row>
    <row r="404" spans="1:17" s="651" customFormat="1">
      <c r="A404" s="455"/>
      <c r="B404" s="455"/>
      <c r="C404" s="652"/>
      <c r="D404" s="455"/>
      <c r="E404" s="653"/>
      <c r="F404" s="455"/>
      <c r="G404" s="647"/>
      <c r="H404" s="455"/>
      <c r="I404" s="653"/>
      <c r="J404" s="455"/>
      <c r="K404" s="455"/>
      <c r="L404" s="455"/>
      <c r="M404" s="1404" t="str">
        <f>+IFERROR(VLOOKUP(G404,'S1&amp;2 Lists'!$C$4:$G$200,3,FALSE),"-")</f>
        <v>-</v>
      </c>
      <c r="N404" s="1404" t="str">
        <f t="shared" si="6"/>
        <v>-</v>
      </c>
      <c r="P404" s="1405">
        <f>ROUND(IF(L404='S1&amp;2 Lists'!$CV$3,K404,IF(L404='S1&amp;2 Lists'!$CV$4,K404/'S1&amp;2 Lists'!$CQ$6,0)),3)</f>
        <v>0</v>
      </c>
      <c r="Q404" s="10" t="s">
        <v>12</v>
      </c>
    </row>
    <row r="405" spans="1:17" s="651" customFormat="1">
      <c r="A405" s="455"/>
      <c r="B405" s="455"/>
      <c r="C405" s="652"/>
      <c r="D405" s="455"/>
      <c r="E405" s="653"/>
      <c r="F405" s="455"/>
      <c r="G405" s="647"/>
      <c r="H405" s="455"/>
      <c r="I405" s="653"/>
      <c r="J405" s="455"/>
      <c r="K405" s="455"/>
      <c r="L405" s="455"/>
      <c r="M405" s="1404" t="str">
        <f>+IFERROR(VLOOKUP(G405,'S1&amp;2 Lists'!$C$4:$G$200,3,FALSE),"-")</f>
        <v>-</v>
      </c>
      <c r="N405" s="1404" t="str">
        <f t="shared" si="6"/>
        <v>-</v>
      </c>
      <c r="P405" s="1405">
        <f>ROUND(IF(L405='S1&amp;2 Lists'!$CV$3,K405,IF(L405='S1&amp;2 Lists'!$CV$4,K405/'S1&amp;2 Lists'!$CQ$6,0)),3)</f>
        <v>0</v>
      </c>
      <c r="Q405" s="10" t="s">
        <v>12</v>
      </c>
    </row>
    <row r="406" spans="1:17" s="651" customFormat="1">
      <c r="A406" s="455"/>
      <c r="B406" s="455"/>
      <c r="C406" s="652"/>
      <c r="D406" s="455"/>
      <c r="E406" s="653"/>
      <c r="F406" s="455"/>
      <c r="G406" s="647"/>
      <c r="H406" s="455"/>
      <c r="I406" s="653"/>
      <c r="J406" s="455"/>
      <c r="K406" s="455"/>
      <c r="L406" s="455"/>
      <c r="M406" s="1404" t="str">
        <f>+IFERROR(VLOOKUP(G406,'S1&amp;2 Lists'!$C$4:$G$200,3,FALSE),"-")</f>
        <v>-</v>
      </c>
      <c r="N406" s="1404" t="str">
        <f t="shared" si="6"/>
        <v>-</v>
      </c>
      <c r="P406" s="1405">
        <f>ROUND(IF(L406='S1&amp;2 Lists'!$CV$3,K406,IF(L406='S1&amp;2 Lists'!$CV$4,K406/'S1&amp;2 Lists'!$CQ$6,0)),3)</f>
        <v>0</v>
      </c>
      <c r="Q406" s="10" t="s">
        <v>12</v>
      </c>
    </row>
    <row r="407" spans="1:17" s="651" customFormat="1">
      <c r="A407" s="455"/>
      <c r="B407" s="455"/>
      <c r="C407" s="652"/>
      <c r="D407" s="455"/>
      <c r="E407" s="653"/>
      <c r="F407" s="455"/>
      <c r="G407" s="647"/>
      <c r="H407" s="455"/>
      <c r="I407" s="653"/>
      <c r="J407" s="455"/>
      <c r="K407" s="455"/>
      <c r="L407" s="455"/>
      <c r="M407" s="1404" t="str">
        <f>+IFERROR(VLOOKUP(G407,'S1&amp;2 Lists'!$C$4:$G$200,3,FALSE),"-")</f>
        <v>-</v>
      </c>
      <c r="N407" s="1404" t="str">
        <f t="shared" si="6"/>
        <v>-</v>
      </c>
      <c r="P407" s="1405">
        <f>ROUND(IF(L407='S1&amp;2 Lists'!$CV$3,K407,IF(L407='S1&amp;2 Lists'!$CV$4,K407/'S1&amp;2 Lists'!$CQ$6,0)),3)</f>
        <v>0</v>
      </c>
      <c r="Q407" s="10" t="s">
        <v>12</v>
      </c>
    </row>
    <row r="408" spans="1:17" s="651" customFormat="1">
      <c r="A408" s="455"/>
      <c r="B408" s="455"/>
      <c r="C408" s="652"/>
      <c r="D408" s="455"/>
      <c r="E408" s="653"/>
      <c r="F408" s="455"/>
      <c r="G408" s="647"/>
      <c r="H408" s="455"/>
      <c r="I408" s="653"/>
      <c r="J408" s="455"/>
      <c r="K408" s="455"/>
      <c r="L408" s="455"/>
      <c r="M408" s="1404" t="str">
        <f>+IFERROR(VLOOKUP(G408,'S1&amp;2 Lists'!$C$4:$G$200,3,FALSE),"-")</f>
        <v>-</v>
      </c>
      <c r="N408" s="1404" t="str">
        <f t="shared" si="6"/>
        <v>-</v>
      </c>
      <c r="P408" s="1405">
        <f>ROUND(IF(L408='S1&amp;2 Lists'!$CV$3,K408,IF(L408='S1&amp;2 Lists'!$CV$4,K408/'S1&amp;2 Lists'!$CQ$6,0)),3)</f>
        <v>0</v>
      </c>
      <c r="Q408" s="10" t="s">
        <v>12</v>
      </c>
    </row>
    <row r="409" spans="1:17" s="651" customFormat="1">
      <c r="A409" s="455"/>
      <c r="B409" s="455"/>
      <c r="C409" s="652"/>
      <c r="D409" s="455"/>
      <c r="E409" s="653"/>
      <c r="F409" s="455"/>
      <c r="G409" s="647"/>
      <c r="H409" s="455"/>
      <c r="I409" s="653"/>
      <c r="J409" s="455"/>
      <c r="K409" s="455"/>
      <c r="L409" s="455"/>
      <c r="M409" s="1404" t="str">
        <f>+IFERROR(VLOOKUP(G409,'S1&amp;2 Lists'!$C$4:$G$200,3,FALSE),"-")</f>
        <v>-</v>
      </c>
      <c r="N409" s="1404" t="str">
        <f t="shared" si="6"/>
        <v>-</v>
      </c>
      <c r="P409" s="1405">
        <f>ROUND(IF(L409='S1&amp;2 Lists'!$CV$3,K409,IF(L409='S1&amp;2 Lists'!$CV$4,K409/'S1&amp;2 Lists'!$CQ$6,0)),3)</f>
        <v>0</v>
      </c>
      <c r="Q409" s="10" t="s">
        <v>12</v>
      </c>
    </row>
    <row r="410" spans="1:17" s="651" customFormat="1">
      <c r="A410" s="455"/>
      <c r="B410" s="455"/>
      <c r="C410" s="652"/>
      <c r="D410" s="455"/>
      <c r="E410" s="653"/>
      <c r="F410" s="455"/>
      <c r="G410" s="647"/>
      <c r="H410" s="455"/>
      <c r="I410" s="653"/>
      <c r="J410" s="455"/>
      <c r="K410" s="455"/>
      <c r="L410" s="455"/>
      <c r="M410" s="1404" t="str">
        <f>+IFERROR(VLOOKUP(G410,'S1&amp;2 Lists'!$C$4:$G$200,3,FALSE),"-")</f>
        <v>-</v>
      </c>
      <c r="N410" s="1404" t="str">
        <f t="shared" si="6"/>
        <v>-</v>
      </c>
      <c r="P410" s="1405">
        <f>ROUND(IF(L410='S1&amp;2 Lists'!$CV$3,K410,IF(L410='S1&amp;2 Lists'!$CV$4,K410/'S1&amp;2 Lists'!$CQ$6,0)),3)</f>
        <v>0</v>
      </c>
      <c r="Q410" s="10" t="s">
        <v>12</v>
      </c>
    </row>
    <row r="411" spans="1:17" s="651" customFormat="1">
      <c r="A411" s="455"/>
      <c r="B411" s="455"/>
      <c r="C411" s="652"/>
      <c r="D411" s="455"/>
      <c r="E411" s="653"/>
      <c r="F411" s="455"/>
      <c r="G411" s="647"/>
      <c r="H411" s="455"/>
      <c r="I411" s="653"/>
      <c r="J411" s="455"/>
      <c r="K411" s="455"/>
      <c r="L411" s="455"/>
      <c r="M411" s="1404" t="str">
        <f>+IFERROR(VLOOKUP(G411,'S1&amp;2 Lists'!$C$4:$G$200,3,FALSE),"-")</f>
        <v>-</v>
      </c>
      <c r="N411" s="1404" t="str">
        <f t="shared" si="6"/>
        <v>-</v>
      </c>
      <c r="P411" s="1405">
        <f>ROUND(IF(L411='S1&amp;2 Lists'!$CV$3,K411,IF(L411='S1&amp;2 Lists'!$CV$4,K411/'S1&amp;2 Lists'!$CQ$6,0)),3)</f>
        <v>0</v>
      </c>
      <c r="Q411" s="10" t="s">
        <v>12</v>
      </c>
    </row>
    <row r="412" spans="1:17" s="651" customFormat="1">
      <c r="A412" s="455"/>
      <c r="B412" s="455"/>
      <c r="C412" s="652"/>
      <c r="D412" s="455"/>
      <c r="E412" s="653"/>
      <c r="F412" s="455"/>
      <c r="G412" s="647"/>
      <c r="H412" s="455"/>
      <c r="I412" s="653"/>
      <c r="J412" s="455"/>
      <c r="K412" s="455"/>
      <c r="L412" s="455"/>
      <c r="M412" s="1404" t="str">
        <f>+IFERROR(VLOOKUP(G412,'S1&amp;2 Lists'!$C$4:$G$200,3,FALSE),"-")</f>
        <v>-</v>
      </c>
      <c r="N412" s="1404" t="str">
        <f t="shared" si="6"/>
        <v>-</v>
      </c>
      <c r="P412" s="1405">
        <f>ROUND(IF(L412='S1&amp;2 Lists'!$CV$3,K412,IF(L412='S1&amp;2 Lists'!$CV$4,K412/'S1&amp;2 Lists'!$CQ$6,0)),3)</f>
        <v>0</v>
      </c>
      <c r="Q412" s="10" t="s">
        <v>12</v>
      </c>
    </row>
    <row r="413" spans="1:17" s="651" customFormat="1">
      <c r="A413" s="455"/>
      <c r="B413" s="455"/>
      <c r="C413" s="652"/>
      <c r="D413" s="455"/>
      <c r="E413" s="653"/>
      <c r="F413" s="455"/>
      <c r="G413" s="647"/>
      <c r="H413" s="455"/>
      <c r="I413" s="653"/>
      <c r="J413" s="455"/>
      <c r="K413" s="455"/>
      <c r="L413" s="455"/>
      <c r="M413" s="1404" t="str">
        <f>+IFERROR(VLOOKUP(G413,'S1&amp;2 Lists'!$C$4:$G$200,3,FALSE),"-")</f>
        <v>-</v>
      </c>
      <c r="N413" s="1404" t="str">
        <f t="shared" si="6"/>
        <v>-</v>
      </c>
      <c r="P413" s="1405">
        <f>ROUND(IF(L413='S1&amp;2 Lists'!$CV$3,K413,IF(L413='S1&amp;2 Lists'!$CV$4,K413/'S1&amp;2 Lists'!$CQ$6,0)),3)</f>
        <v>0</v>
      </c>
      <c r="Q413" s="10" t="s">
        <v>12</v>
      </c>
    </row>
    <row r="414" spans="1:17" s="651" customFormat="1">
      <c r="A414" s="455"/>
      <c r="B414" s="455"/>
      <c r="C414" s="652"/>
      <c r="D414" s="455"/>
      <c r="E414" s="653"/>
      <c r="F414" s="455"/>
      <c r="G414" s="647"/>
      <c r="H414" s="455"/>
      <c r="I414" s="653"/>
      <c r="J414" s="455"/>
      <c r="K414" s="455"/>
      <c r="L414" s="455"/>
      <c r="M414" s="1404" t="str">
        <f>+IFERROR(VLOOKUP(G414,'S1&amp;2 Lists'!$C$4:$G$200,3,FALSE),"-")</f>
        <v>-</v>
      </c>
      <c r="N414" s="1404" t="str">
        <f t="shared" si="6"/>
        <v>-</v>
      </c>
      <c r="P414" s="1405">
        <f>ROUND(IF(L414='S1&amp;2 Lists'!$CV$3,K414,IF(L414='S1&amp;2 Lists'!$CV$4,K414/'S1&amp;2 Lists'!$CQ$6,0)),3)</f>
        <v>0</v>
      </c>
      <c r="Q414" s="10" t="s">
        <v>12</v>
      </c>
    </row>
    <row r="415" spans="1:17" s="651" customFormat="1">
      <c r="A415" s="455"/>
      <c r="B415" s="455"/>
      <c r="C415" s="652"/>
      <c r="D415" s="455"/>
      <c r="E415" s="653"/>
      <c r="F415" s="455"/>
      <c r="G415" s="647"/>
      <c r="H415" s="455"/>
      <c r="I415" s="653"/>
      <c r="J415" s="455"/>
      <c r="K415" s="455"/>
      <c r="L415" s="455"/>
      <c r="M415" s="1404" t="str">
        <f>+IFERROR(VLOOKUP(G415,'S1&amp;2 Lists'!$C$4:$G$200,3,FALSE),"-")</f>
        <v>-</v>
      </c>
      <c r="N415" s="1404" t="str">
        <f t="shared" si="6"/>
        <v>-</v>
      </c>
      <c r="P415" s="1405">
        <f>ROUND(IF(L415='S1&amp;2 Lists'!$CV$3,K415,IF(L415='S1&amp;2 Lists'!$CV$4,K415/'S1&amp;2 Lists'!$CQ$6,0)),3)</f>
        <v>0</v>
      </c>
      <c r="Q415" s="10" t="s">
        <v>12</v>
      </c>
    </row>
    <row r="416" spans="1:17" s="651" customFormat="1">
      <c r="A416" s="455"/>
      <c r="B416" s="455"/>
      <c r="C416" s="652"/>
      <c r="D416" s="455"/>
      <c r="E416" s="653"/>
      <c r="F416" s="455"/>
      <c r="G416" s="647"/>
      <c r="H416" s="455"/>
      <c r="I416" s="653"/>
      <c r="J416" s="455"/>
      <c r="K416" s="455"/>
      <c r="L416" s="455"/>
      <c r="M416" s="1404" t="str">
        <f>+IFERROR(VLOOKUP(G416,'S1&amp;2 Lists'!$C$4:$G$200,3,FALSE),"-")</f>
        <v>-</v>
      </c>
      <c r="N416" s="1404" t="str">
        <f t="shared" si="6"/>
        <v>-</v>
      </c>
      <c r="P416" s="1405">
        <f>ROUND(IF(L416='S1&amp;2 Lists'!$CV$3,K416,IF(L416='S1&amp;2 Lists'!$CV$4,K416/'S1&amp;2 Lists'!$CQ$6,0)),3)</f>
        <v>0</v>
      </c>
      <c r="Q416" s="10" t="s">
        <v>12</v>
      </c>
    </row>
    <row r="417" spans="1:17" s="651" customFormat="1">
      <c r="A417" s="455"/>
      <c r="B417" s="455"/>
      <c r="C417" s="652"/>
      <c r="D417" s="455"/>
      <c r="E417" s="653"/>
      <c r="F417" s="455"/>
      <c r="G417" s="647"/>
      <c r="H417" s="455"/>
      <c r="I417" s="653"/>
      <c r="J417" s="455"/>
      <c r="K417" s="455"/>
      <c r="L417" s="455"/>
      <c r="M417" s="1404" t="str">
        <f>+IFERROR(VLOOKUP(G417,'S1&amp;2 Lists'!$C$4:$G$200,3,FALSE),"-")</f>
        <v>-</v>
      </c>
      <c r="N417" s="1404" t="str">
        <f t="shared" si="6"/>
        <v>-</v>
      </c>
      <c r="P417" s="1405">
        <f>ROUND(IF(L417='S1&amp;2 Lists'!$CV$3,K417,IF(L417='S1&amp;2 Lists'!$CV$4,K417/'S1&amp;2 Lists'!$CQ$6,0)),3)</f>
        <v>0</v>
      </c>
      <c r="Q417" s="10" t="s">
        <v>12</v>
      </c>
    </row>
    <row r="418" spans="1:17" s="651" customFormat="1">
      <c r="A418" s="455"/>
      <c r="B418" s="455"/>
      <c r="C418" s="652"/>
      <c r="D418" s="455"/>
      <c r="E418" s="653"/>
      <c r="F418" s="455"/>
      <c r="G418" s="647"/>
      <c r="H418" s="455"/>
      <c r="I418" s="653"/>
      <c r="J418" s="455"/>
      <c r="K418" s="455"/>
      <c r="L418" s="455"/>
      <c r="M418" s="1404" t="str">
        <f>+IFERROR(VLOOKUP(G418,'S1&amp;2 Lists'!$C$4:$G$200,3,FALSE),"-")</f>
        <v>-</v>
      </c>
      <c r="N418" s="1404" t="str">
        <f t="shared" si="6"/>
        <v>-</v>
      </c>
      <c r="P418" s="1405">
        <f>ROUND(IF(L418='S1&amp;2 Lists'!$CV$3,K418,IF(L418='S1&amp;2 Lists'!$CV$4,K418/'S1&amp;2 Lists'!$CQ$6,0)),3)</f>
        <v>0</v>
      </c>
      <c r="Q418" s="10" t="s">
        <v>12</v>
      </c>
    </row>
    <row r="419" spans="1:17" s="651" customFormat="1">
      <c r="A419" s="455"/>
      <c r="B419" s="455"/>
      <c r="C419" s="652"/>
      <c r="D419" s="455"/>
      <c r="E419" s="653"/>
      <c r="F419" s="455"/>
      <c r="G419" s="647"/>
      <c r="H419" s="455"/>
      <c r="I419" s="653"/>
      <c r="J419" s="455"/>
      <c r="K419" s="455"/>
      <c r="L419" s="455"/>
      <c r="M419" s="1404" t="str">
        <f>+IFERROR(VLOOKUP(G419,'S1&amp;2 Lists'!$C$4:$G$200,3,FALSE),"-")</f>
        <v>-</v>
      </c>
      <c r="N419" s="1404" t="str">
        <f t="shared" si="6"/>
        <v>-</v>
      </c>
      <c r="P419" s="1405">
        <f>ROUND(IF(L419='S1&amp;2 Lists'!$CV$3,K419,IF(L419='S1&amp;2 Lists'!$CV$4,K419/'S1&amp;2 Lists'!$CQ$6,0)),3)</f>
        <v>0</v>
      </c>
      <c r="Q419" s="10" t="s">
        <v>12</v>
      </c>
    </row>
    <row r="420" spans="1:17" s="651" customFormat="1">
      <c r="A420" s="455"/>
      <c r="B420" s="455"/>
      <c r="C420" s="652"/>
      <c r="D420" s="455"/>
      <c r="E420" s="653"/>
      <c r="F420" s="455"/>
      <c r="G420" s="647"/>
      <c r="H420" s="455"/>
      <c r="I420" s="653"/>
      <c r="J420" s="455"/>
      <c r="K420" s="455"/>
      <c r="L420" s="455"/>
      <c r="M420" s="1404" t="str">
        <f>+IFERROR(VLOOKUP(G420,'S1&amp;2 Lists'!$C$4:$G$200,3,FALSE),"-")</f>
        <v>-</v>
      </c>
      <c r="N420" s="1404" t="str">
        <f t="shared" si="6"/>
        <v>-</v>
      </c>
      <c r="P420" s="1405">
        <f>ROUND(IF(L420='S1&amp;2 Lists'!$CV$3,K420,IF(L420='S1&amp;2 Lists'!$CV$4,K420/'S1&amp;2 Lists'!$CQ$6,0)),3)</f>
        <v>0</v>
      </c>
      <c r="Q420" s="10" t="s">
        <v>12</v>
      </c>
    </row>
    <row r="421" spans="1:17" s="651" customFormat="1">
      <c r="A421" s="455"/>
      <c r="B421" s="455"/>
      <c r="C421" s="652"/>
      <c r="D421" s="455"/>
      <c r="E421" s="653"/>
      <c r="F421" s="455"/>
      <c r="G421" s="647"/>
      <c r="H421" s="455"/>
      <c r="I421" s="653"/>
      <c r="J421" s="455"/>
      <c r="K421" s="455"/>
      <c r="L421" s="455"/>
      <c r="M421" s="1404" t="str">
        <f>+IFERROR(VLOOKUP(G421,'S1&amp;2 Lists'!$C$4:$G$200,3,FALSE),"-")</f>
        <v>-</v>
      </c>
      <c r="N421" s="1404" t="str">
        <f t="shared" si="6"/>
        <v>-</v>
      </c>
      <c r="P421" s="1405">
        <f>ROUND(IF(L421='S1&amp;2 Lists'!$CV$3,K421,IF(L421='S1&amp;2 Lists'!$CV$4,K421/'S1&amp;2 Lists'!$CQ$6,0)),3)</f>
        <v>0</v>
      </c>
      <c r="Q421" s="10" t="s">
        <v>12</v>
      </c>
    </row>
    <row r="422" spans="1:17" s="651" customFormat="1">
      <c r="A422" s="455"/>
      <c r="B422" s="455"/>
      <c r="C422" s="652"/>
      <c r="D422" s="455"/>
      <c r="E422" s="653"/>
      <c r="F422" s="455"/>
      <c r="G422" s="647"/>
      <c r="H422" s="455"/>
      <c r="I422" s="653"/>
      <c r="J422" s="455"/>
      <c r="K422" s="455"/>
      <c r="L422" s="455"/>
      <c r="M422" s="1404" t="str">
        <f>+IFERROR(VLOOKUP(G422,'S1&amp;2 Lists'!$C$4:$G$200,3,FALSE),"-")</f>
        <v>-</v>
      </c>
      <c r="N422" s="1404" t="str">
        <f t="shared" si="6"/>
        <v>-</v>
      </c>
      <c r="P422" s="1405">
        <f>ROUND(IF(L422='S1&amp;2 Lists'!$CV$3,K422,IF(L422='S1&amp;2 Lists'!$CV$4,K422/'S1&amp;2 Lists'!$CQ$6,0)),3)</f>
        <v>0</v>
      </c>
      <c r="Q422" s="10" t="s">
        <v>12</v>
      </c>
    </row>
    <row r="423" spans="1:17" s="651" customFormat="1">
      <c r="A423" s="455"/>
      <c r="B423" s="455"/>
      <c r="C423" s="652"/>
      <c r="D423" s="455"/>
      <c r="E423" s="653"/>
      <c r="F423" s="455"/>
      <c r="G423" s="647"/>
      <c r="H423" s="455"/>
      <c r="I423" s="653"/>
      <c r="J423" s="455"/>
      <c r="K423" s="455"/>
      <c r="L423" s="455"/>
      <c r="M423" s="1404" t="str">
        <f>+IFERROR(VLOOKUP(G423,'S1&amp;2 Lists'!$C$4:$G$200,3,FALSE),"-")</f>
        <v>-</v>
      </c>
      <c r="N423" s="1404" t="str">
        <f t="shared" si="6"/>
        <v>-</v>
      </c>
      <c r="P423" s="1405">
        <f>ROUND(IF(L423='S1&amp;2 Lists'!$CV$3,K423,IF(L423='S1&amp;2 Lists'!$CV$4,K423/'S1&amp;2 Lists'!$CQ$6,0)),3)</f>
        <v>0</v>
      </c>
      <c r="Q423" s="10" t="s">
        <v>12</v>
      </c>
    </row>
    <row r="424" spans="1:17" s="651" customFormat="1">
      <c r="A424" s="455"/>
      <c r="B424" s="455"/>
      <c r="C424" s="652"/>
      <c r="D424" s="455"/>
      <c r="E424" s="653"/>
      <c r="F424" s="455"/>
      <c r="G424" s="647"/>
      <c r="H424" s="455"/>
      <c r="I424" s="653"/>
      <c r="J424" s="455"/>
      <c r="K424" s="455"/>
      <c r="L424" s="455"/>
      <c r="M424" s="1404" t="str">
        <f>+IFERROR(VLOOKUP(G424,'S1&amp;2 Lists'!$C$4:$G$200,3,FALSE),"-")</f>
        <v>-</v>
      </c>
      <c r="N424" s="1404" t="str">
        <f t="shared" si="6"/>
        <v>-</v>
      </c>
      <c r="P424" s="1405">
        <f>ROUND(IF(L424='S1&amp;2 Lists'!$CV$3,K424,IF(L424='S1&amp;2 Lists'!$CV$4,K424/'S1&amp;2 Lists'!$CQ$6,0)),3)</f>
        <v>0</v>
      </c>
      <c r="Q424" s="10" t="s">
        <v>12</v>
      </c>
    </row>
    <row r="425" spans="1:17" s="651" customFormat="1">
      <c r="A425" s="455"/>
      <c r="B425" s="455"/>
      <c r="C425" s="652"/>
      <c r="D425" s="455"/>
      <c r="E425" s="653"/>
      <c r="F425" s="455"/>
      <c r="G425" s="647"/>
      <c r="H425" s="455"/>
      <c r="I425" s="653"/>
      <c r="J425" s="455"/>
      <c r="K425" s="455"/>
      <c r="L425" s="455"/>
      <c r="M425" s="1404" t="str">
        <f>+IFERROR(VLOOKUP(G425,'S1&amp;2 Lists'!$C$4:$G$200,3,FALSE),"-")</f>
        <v>-</v>
      </c>
      <c r="N425" s="1404" t="str">
        <f t="shared" si="6"/>
        <v>-</v>
      </c>
      <c r="P425" s="1405">
        <f>ROUND(IF(L425='S1&amp;2 Lists'!$CV$3,K425,IF(L425='S1&amp;2 Lists'!$CV$4,K425/'S1&amp;2 Lists'!$CQ$6,0)),3)</f>
        <v>0</v>
      </c>
      <c r="Q425" s="10" t="s">
        <v>12</v>
      </c>
    </row>
    <row r="426" spans="1:17" s="651" customFormat="1">
      <c r="A426" s="455"/>
      <c r="B426" s="455"/>
      <c r="C426" s="652"/>
      <c r="D426" s="455"/>
      <c r="E426" s="653"/>
      <c r="F426" s="455"/>
      <c r="G426" s="647"/>
      <c r="H426" s="455"/>
      <c r="I426" s="653"/>
      <c r="J426" s="455"/>
      <c r="K426" s="455"/>
      <c r="L426" s="455"/>
      <c r="M426" s="1404" t="str">
        <f>+IFERROR(VLOOKUP(G426,'S1&amp;2 Lists'!$C$4:$G$200,3,FALSE),"-")</f>
        <v>-</v>
      </c>
      <c r="N426" s="1404" t="str">
        <f t="shared" si="6"/>
        <v>-</v>
      </c>
      <c r="P426" s="1405">
        <f>ROUND(IF(L426='S1&amp;2 Lists'!$CV$3,K426,IF(L426='S1&amp;2 Lists'!$CV$4,K426/'S1&amp;2 Lists'!$CQ$6,0)),3)</f>
        <v>0</v>
      </c>
      <c r="Q426" s="10" t="s">
        <v>12</v>
      </c>
    </row>
    <row r="427" spans="1:17" s="651" customFormat="1">
      <c r="A427" s="455"/>
      <c r="B427" s="455"/>
      <c r="C427" s="652"/>
      <c r="D427" s="455"/>
      <c r="E427" s="653"/>
      <c r="F427" s="455"/>
      <c r="G427" s="647"/>
      <c r="H427" s="455"/>
      <c r="I427" s="653"/>
      <c r="J427" s="455"/>
      <c r="K427" s="455"/>
      <c r="L427" s="455"/>
      <c r="M427" s="1404" t="str">
        <f>+IFERROR(VLOOKUP(G427,'S1&amp;2 Lists'!$C$4:$G$200,3,FALSE),"-")</f>
        <v>-</v>
      </c>
      <c r="N427" s="1404" t="str">
        <f t="shared" si="6"/>
        <v>-</v>
      </c>
      <c r="P427" s="1405">
        <f>ROUND(IF(L427='S1&amp;2 Lists'!$CV$3,K427,IF(L427='S1&amp;2 Lists'!$CV$4,K427/'S1&amp;2 Lists'!$CQ$6,0)),3)</f>
        <v>0</v>
      </c>
      <c r="Q427" s="10" t="s">
        <v>12</v>
      </c>
    </row>
    <row r="428" spans="1:17" s="651" customFormat="1">
      <c r="A428" s="455"/>
      <c r="B428" s="455"/>
      <c r="C428" s="652"/>
      <c r="D428" s="455"/>
      <c r="E428" s="653"/>
      <c r="F428" s="455"/>
      <c r="G428" s="647"/>
      <c r="H428" s="455"/>
      <c r="I428" s="653"/>
      <c r="J428" s="455"/>
      <c r="K428" s="455"/>
      <c r="L428" s="455"/>
      <c r="M428" s="1404" t="str">
        <f>+IFERROR(VLOOKUP(G428,'S1&amp;2 Lists'!$C$4:$G$200,3,FALSE),"-")</f>
        <v>-</v>
      </c>
      <c r="N428" s="1404" t="str">
        <f t="shared" si="6"/>
        <v>-</v>
      </c>
      <c r="P428" s="1405">
        <f>ROUND(IF(L428='S1&amp;2 Lists'!$CV$3,K428,IF(L428='S1&amp;2 Lists'!$CV$4,K428/'S1&amp;2 Lists'!$CQ$6,0)),3)</f>
        <v>0</v>
      </c>
      <c r="Q428" s="10" t="s">
        <v>12</v>
      </c>
    </row>
    <row r="429" spans="1:17" s="651" customFormat="1">
      <c r="A429" s="455"/>
      <c r="B429" s="455"/>
      <c r="C429" s="652"/>
      <c r="D429" s="455"/>
      <c r="E429" s="653"/>
      <c r="F429" s="455"/>
      <c r="G429" s="647"/>
      <c r="H429" s="455"/>
      <c r="I429" s="653"/>
      <c r="J429" s="455"/>
      <c r="K429" s="455"/>
      <c r="L429" s="455"/>
      <c r="M429" s="1404" t="str">
        <f>+IFERROR(VLOOKUP(G429,'S1&amp;2 Lists'!$C$4:$G$200,3,FALSE),"-")</f>
        <v>-</v>
      </c>
      <c r="N429" s="1404" t="str">
        <f t="shared" si="6"/>
        <v>-</v>
      </c>
      <c r="P429" s="1405">
        <f>ROUND(IF(L429='S1&amp;2 Lists'!$CV$3,K429,IF(L429='S1&amp;2 Lists'!$CV$4,K429/'S1&amp;2 Lists'!$CQ$6,0)),3)</f>
        <v>0</v>
      </c>
      <c r="Q429" s="10" t="s">
        <v>12</v>
      </c>
    </row>
    <row r="430" spans="1:17" s="651" customFormat="1">
      <c r="A430" s="455"/>
      <c r="B430" s="455"/>
      <c r="C430" s="652"/>
      <c r="D430" s="455"/>
      <c r="E430" s="653"/>
      <c r="F430" s="455"/>
      <c r="G430" s="647"/>
      <c r="H430" s="455"/>
      <c r="I430" s="653"/>
      <c r="J430" s="455"/>
      <c r="K430" s="455"/>
      <c r="L430" s="455"/>
      <c r="M430" s="1404" t="str">
        <f>+IFERROR(VLOOKUP(G430,'S1&amp;2 Lists'!$C$4:$G$200,3,FALSE),"-")</f>
        <v>-</v>
      </c>
      <c r="N430" s="1404" t="str">
        <f t="shared" si="6"/>
        <v>-</v>
      </c>
      <c r="P430" s="1405">
        <f>ROUND(IF(L430='S1&amp;2 Lists'!$CV$3,K430,IF(L430='S1&amp;2 Lists'!$CV$4,K430/'S1&amp;2 Lists'!$CQ$6,0)),3)</f>
        <v>0</v>
      </c>
      <c r="Q430" s="10" t="s">
        <v>12</v>
      </c>
    </row>
    <row r="431" spans="1:17" s="651" customFormat="1">
      <c r="A431" s="455"/>
      <c r="B431" s="455"/>
      <c r="C431" s="652"/>
      <c r="D431" s="455"/>
      <c r="E431" s="653"/>
      <c r="F431" s="455"/>
      <c r="G431" s="647"/>
      <c r="H431" s="455"/>
      <c r="I431" s="653"/>
      <c r="J431" s="455"/>
      <c r="K431" s="455"/>
      <c r="L431" s="455"/>
      <c r="M431" s="1404" t="str">
        <f>+IFERROR(VLOOKUP(G431,'S1&amp;2 Lists'!$C$4:$G$200,3,FALSE),"-")</f>
        <v>-</v>
      </c>
      <c r="N431" s="1404" t="str">
        <f t="shared" si="6"/>
        <v>-</v>
      </c>
      <c r="P431" s="1405">
        <f>ROUND(IF(L431='S1&amp;2 Lists'!$CV$3,K431,IF(L431='S1&amp;2 Lists'!$CV$4,K431/'S1&amp;2 Lists'!$CQ$6,0)),3)</f>
        <v>0</v>
      </c>
      <c r="Q431" s="10" t="s">
        <v>12</v>
      </c>
    </row>
    <row r="432" spans="1:17" s="651" customFormat="1">
      <c r="A432" s="455"/>
      <c r="B432" s="455"/>
      <c r="C432" s="652"/>
      <c r="D432" s="455"/>
      <c r="E432" s="653"/>
      <c r="F432" s="455"/>
      <c r="G432" s="647"/>
      <c r="H432" s="455"/>
      <c r="I432" s="653"/>
      <c r="J432" s="455"/>
      <c r="K432" s="455"/>
      <c r="L432" s="455"/>
      <c r="M432" s="1404" t="str">
        <f>+IFERROR(VLOOKUP(G432,'S1&amp;2 Lists'!$C$4:$G$200,3,FALSE),"-")</f>
        <v>-</v>
      </c>
      <c r="N432" s="1404" t="str">
        <f t="shared" si="6"/>
        <v>-</v>
      </c>
      <c r="P432" s="1405">
        <f>ROUND(IF(L432='S1&amp;2 Lists'!$CV$3,K432,IF(L432='S1&amp;2 Lists'!$CV$4,K432/'S1&amp;2 Lists'!$CQ$6,0)),3)</f>
        <v>0</v>
      </c>
      <c r="Q432" s="10" t="s">
        <v>12</v>
      </c>
    </row>
    <row r="433" spans="1:17" s="651" customFormat="1">
      <c r="A433" s="455"/>
      <c r="B433" s="455"/>
      <c r="C433" s="652"/>
      <c r="D433" s="455"/>
      <c r="E433" s="653"/>
      <c r="F433" s="455"/>
      <c r="G433" s="647"/>
      <c r="H433" s="455"/>
      <c r="I433" s="653"/>
      <c r="J433" s="455"/>
      <c r="K433" s="455"/>
      <c r="L433" s="455"/>
      <c r="M433" s="1404" t="str">
        <f>+IFERROR(VLOOKUP(G433,'S1&amp;2 Lists'!$C$4:$G$200,3,FALSE),"-")</f>
        <v>-</v>
      </c>
      <c r="N433" s="1404" t="str">
        <f t="shared" si="6"/>
        <v>-</v>
      </c>
      <c r="P433" s="1405">
        <f>ROUND(IF(L433='S1&amp;2 Lists'!$CV$3,K433,IF(L433='S1&amp;2 Lists'!$CV$4,K433/'S1&amp;2 Lists'!$CQ$6,0)),3)</f>
        <v>0</v>
      </c>
      <c r="Q433" s="10" t="s">
        <v>12</v>
      </c>
    </row>
    <row r="434" spans="1:17" s="651" customFormat="1">
      <c r="A434" s="455"/>
      <c r="B434" s="455"/>
      <c r="C434" s="652"/>
      <c r="D434" s="455"/>
      <c r="E434" s="653"/>
      <c r="F434" s="455"/>
      <c r="G434" s="647"/>
      <c r="H434" s="455"/>
      <c r="I434" s="653"/>
      <c r="J434" s="455"/>
      <c r="K434" s="455"/>
      <c r="L434" s="455"/>
      <c r="M434" s="1404" t="str">
        <f>+IFERROR(VLOOKUP(G434,'S1&amp;2 Lists'!$C$4:$G$200,3,FALSE),"-")</f>
        <v>-</v>
      </c>
      <c r="N434" s="1404" t="str">
        <f t="shared" si="6"/>
        <v>-</v>
      </c>
      <c r="P434" s="1405">
        <f>ROUND(IF(L434='S1&amp;2 Lists'!$CV$3,K434,IF(L434='S1&amp;2 Lists'!$CV$4,K434/'S1&amp;2 Lists'!$CQ$6,0)),3)</f>
        <v>0</v>
      </c>
      <c r="Q434" s="10" t="s">
        <v>12</v>
      </c>
    </row>
    <row r="435" spans="1:17" s="651" customFormat="1">
      <c r="A435" s="455"/>
      <c r="B435" s="455"/>
      <c r="C435" s="652"/>
      <c r="D435" s="455"/>
      <c r="E435" s="653"/>
      <c r="F435" s="455"/>
      <c r="G435" s="647"/>
      <c r="H435" s="455"/>
      <c r="I435" s="653"/>
      <c r="J435" s="455"/>
      <c r="K435" s="455"/>
      <c r="L435" s="455"/>
      <c r="M435" s="1404" t="str">
        <f>+IFERROR(VLOOKUP(G435,'S1&amp;2 Lists'!$C$4:$G$200,3,FALSE),"-")</f>
        <v>-</v>
      </c>
      <c r="N435" s="1404" t="str">
        <f t="shared" si="6"/>
        <v>-</v>
      </c>
      <c r="P435" s="1405">
        <f>ROUND(IF(L435='S1&amp;2 Lists'!$CV$3,K435,IF(L435='S1&amp;2 Lists'!$CV$4,K435/'S1&amp;2 Lists'!$CQ$6,0)),3)</f>
        <v>0</v>
      </c>
      <c r="Q435" s="10" t="s">
        <v>12</v>
      </c>
    </row>
    <row r="436" spans="1:17" s="651" customFormat="1">
      <c r="A436" s="455"/>
      <c r="B436" s="455"/>
      <c r="C436" s="652"/>
      <c r="D436" s="455"/>
      <c r="E436" s="653"/>
      <c r="F436" s="455"/>
      <c r="G436" s="647"/>
      <c r="H436" s="455"/>
      <c r="I436" s="653"/>
      <c r="J436" s="455"/>
      <c r="K436" s="455"/>
      <c r="L436" s="455"/>
      <c r="M436" s="1404" t="str">
        <f>+IFERROR(VLOOKUP(G436,'S1&amp;2 Lists'!$C$4:$G$200,3,FALSE),"-")</f>
        <v>-</v>
      </c>
      <c r="N436" s="1404" t="str">
        <f t="shared" si="6"/>
        <v>-</v>
      </c>
      <c r="P436" s="1405">
        <f>ROUND(IF(L436='S1&amp;2 Lists'!$CV$3,K436,IF(L436='S1&amp;2 Lists'!$CV$4,K436/'S1&amp;2 Lists'!$CQ$6,0)),3)</f>
        <v>0</v>
      </c>
      <c r="Q436" s="10" t="s">
        <v>12</v>
      </c>
    </row>
    <row r="437" spans="1:17" s="651" customFormat="1">
      <c r="A437" s="455"/>
      <c r="B437" s="455"/>
      <c r="C437" s="652"/>
      <c r="D437" s="455"/>
      <c r="E437" s="653"/>
      <c r="F437" s="455"/>
      <c r="G437" s="647"/>
      <c r="H437" s="455"/>
      <c r="I437" s="653"/>
      <c r="J437" s="455"/>
      <c r="K437" s="455"/>
      <c r="L437" s="455"/>
      <c r="M437" s="1404" t="str">
        <f>+IFERROR(VLOOKUP(G437,'S1&amp;2 Lists'!$C$4:$G$200,3,FALSE),"-")</f>
        <v>-</v>
      </c>
      <c r="N437" s="1404" t="str">
        <f t="shared" si="6"/>
        <v>-</v>
      </c>
      <c r="P437" s="1405">
        <f>ROUND(IF(L437='S1&amp;2 Lists'!$CV$3,K437,IF(L437='S1&amp;2 Lists'!$CV$4,K437/'S1&amp;2 Lists'!$CQ$6,0)),3)</f>
        <v>0</v>
      </c>
      <c r="Q437" s="10" t="s">
        <v>12</v>
      </c>
    </row>
    <row r="438" spans="1:17" s="651" customFormat="1">
      <c r="A438" s="455"/>
      <c r="B438" s="455"/>
      <c r="C438" s="652"/>
      <c r="D438" s="455"/>
      <c r="E438" s="653"/>
      <c r="F438" s="455"/>
      <c r="G438" s="647"/>
      <c r="H438" s="455"/>
      <c r="I438" s="653"/>
      <c r="J438" s="455"/>
      <c r="K438" s="455"/>
      <c r="L438" s="455"/>
      <c r="M438" s="1404" t="str">
        <f>+IFERROR(VLOOKUP(G438,'S1&amp;2 Lists'!$C$4:$G$200,3,FALSE),"-")</f>
        <v>-</v>
      </c>
      <c r="N438" s="1404" t="str">
        <f t="shared" si="6"/>
        <v>-</v>
      </c>
      <c r="P438" s="1405">
        <f>ROUND(IF(L438='S1&amp;2 Lists'!$CV$3,K438,IF(L438='S1&amp;2 Lists'!$CV$4,K438/'S1&amp;2 Lists'!$CQ$6,0)),3)</f>
        <v>0</v>
      </c>
      <c r="Q438" s="10" t="s">
        <v>12</v>
      </c>
    </row>
    <row r="439" spans="1:17" s="651" customFormat="1">
      <c r="A439" s="455"/>
      <c r="B439" s="455"/>
      <c r="C439" s="652"/>
      <c r="D439" s="455"/>
      <c r="E439" s="653"/>
      <c r="F439" s="455"/>
      <c r="G439" s="647"/>
      <c r="H439" s="455"/>
      <c r="I439" s="653"/>
      <c r="J439" s="455"/>
      <c r="K439" s="455"/>
      <c r="L439" s="455"/>
      <c r="M439" s="1404" t="str">
        <f>+IFERROR(VLOOKUP(G439,'S1&amp;2 Lists'!$C$4:$G$200,3,FALSE),"-")</f>
        <v>-</v>
      </c>
      <c r="N439" s="1404" t="str">
        <f t="shared" si="6"/>
        <v>-</v>
      </c>
      <c r="P439" s="1405">
        <f>ROUND(IF(L439='S1&amp;2 Lists'!$CV$3,K439,IF(L439='S1&amp;2 Lists'!$CV$4,K439/'S1&amp;2 Lists'!$CQ$6,0)),3)</f>
        <v>0</v>
      </c>
      <c r="Q439" s="10" t="s">
        <v>12</v>
      </c>
    </row>
    <row r="440" spans="1:17" s="651" customFormat="1">
      <c r="A440" s="455"/>
      <c r="B440" s="455"/>
      <c r="C440" s="652"/>
      <c r="D440" s="455"/>
      <c r="E440" s="653"/>
      <c r="F440" s="455"/>
      <c r="G440" s="647"/>
      <c r="H440" s="455"/>
      <c r="I440" s="653"/>
      <c r="J440" s="455"/>
      <c r="K440" s="455"/>
      <c r="L440" s="455"/>
      <c r="M440" s="1404" t="str">
        <f>+IFERROR(VLOOKUP(G440,'S1&amp;2 Lists'!$C$4:$G$200,3,FALSE),"-")</f>
        <v>-</v>
      </c>
      <c r="N440" s="1404" t="str">
        <f t="shared" si="6"/>
        <v>-</v>
      </c>
      <c r="P440" s="1405">
        <f>ROUND(IF(L440='S1&amp;2 Lists'!$CV$3,K440,IF(L440='S1&amp;2 Lists'!$CV$4,K440/'S1&amp;2 Lists'!$CQ$6,0)),3)</f>
        <v>0</v>
      </c>
      <c r="Q440" s="10" t="s">
        <v>12</v>
      </c>
    </row>
    <row r="441" spans="1:17" s="651" customFormat="1">
      <c r="A441" s="455"/>
      <c r="B441" s="455"/>
      <c r="C441" s="652"/>
      <c r="D441" s="455"/>
      <c r="E441" s="653"/>
      <c r="F441" s="455"/>
      <c r="G441" s="647"/>
      <c r="H441" s="455"/>
      <c r="I441" s="653"/>
      <c r="J441" s="455"/>
      <c r="K441" s="455"/>
      <c r="L441" s="455"/>
      <c r="M441" s="1404" t="str">
        <f>+IFERROR(VLOOKUP(G441,'S1&amp;2 Lists'!$C$4:$G$200,3,FALSE),"-")</f>
        <v>-</v>
      </c>
      <c r="N441" s="1404" t="str">
        <f t="shared" si="6"/>
        <v>-</v>
      </c>
      <c r="P441" s="1405">
        <f>ROUND(IF(L441='S1&amp;2 Lists'!$CV$3,K441,IF(L441='S1&amp;2 Lists'!$CV$4,K441/'S1&amp;2 Lists'!$CQ$6,0)),3)</f>
        <v>0</v>
      </c>
      <c r="Q441" s="10" t="s">
        <v>12</v>
      </c>
    </row>
    <row r="442" spans="1:17" s="651" customFormat="1">
      <c r="A442" s="455"/>
      <c r="B442" s="455"/>
      <c r="C442" s="652"/>
      <c r="D442" s="455"/>
      <c r="E442" s="653"/>
      <c r="F442" s="455"/>
      <c r="G442" s="647"/>
      <c r="H442" s="455"/>
      <c r="I442" s="653"/>
      <c r="J442" s="455"/>
      <c r="K442" s="455"/>
      <c r="L442" s="455"/>
      <c r="M442" s="1404" t="str">
        <f>+IFERROR(VLOOKUP(G442,'S1&amp;2 Lists'!$C$4:$G$200,3,FALSE),"-")</f>
        <v>-</v>
      </c>
      <c r="N442" s="1404" t="str">
        <f t="shared" si="6"/>
        <v>-</v>
      </c>
      <c r="P442" s="1405">
        <f>ROUND(IF(L442='S1&amp;2 Lists'!$CV$3,K442,IF(L442='S1&amp;2 Lists'!$CV$4,K442/'S1&amp;2 Lists'!$CQ$6,0)),3)</f>
        <v>0</v>
      </c>
      <c r="Q442" s="10" t="s">
        <v>12</v>
      </c>
    </row>
    <row r="443" spans="1:17" s="651" customFormat="1">
      <c r="A443" s="455"/>
      <c r="B443" s="455"/>
      <c r="C443" s="652"/>
      <c r="D443" s="455"/>
      <c r="E443" s="653"/>
      <c r="F443" s="455"/>
      <c r="G443" s="647"/>
      <c r="H443" s="455"/>
      <c r="I443" s="653"/>
      <c r="J443" s="455"/>
      <c r="K443" s="455"/>
      <c r="L443" s="455"/>
      <c r="M443" s="1404" t="str">
        <f>+IFERROR(VLOOKUP(G443,'S1&amp;2 Lists'!$C$4:$G$200,3,FALSE),"-")</f>
        <v>-</v>
      </c>
      <c r="N443" s="1404" t="str">
        <f t="shared" si="6"/>
        <v>-</v>
      </c>
      <c r="P443" s="1405">
        <f>ROUND(IF(L443='S1&amp;2 Lists'!$CV$3,K443,IF(L443='S1&amp;2 Lists'!$CV$4,K443/'S1&amp;2 Lists'!$CQ$6,0)),3)</f>
        <v>0</v>
      </c>
      <c r="Q443" s="10" t="s">
        <v>12</v>
      </c>
    </row>
    <row r="444" spans="1:17" s="651" customFormat="1">
      <c r="A444" s="455"/>
      <c r="B444" s="455"/>
      <c r="C444" s="652"/>
      <c r="D444" s="455"/>
      <c r="E444" s="653"/>
      <c r="F444" s="455"/>
      <c r="G444" s="647"/>
      <c r="H444" s="455"/>
      <c r="I444" s="653"/>
      <c r="J444" s="455"/>
      <c r="K444" s="455"/>
      <c r="L444" s="455"/>
      <c r="M444" s="1404" t="str">
        <f>+IFERROR(VLOOKUP(G444,'S1&amp;2 Lists'!$C$4:$G$200,3,FALSE),"-")</f>
        <v>-</v>
      </c>
      <c r="N444" s="1404" t="str">
        <f t="shared" si="6"/>
        <v>-</v>
      </c>
      <c r="P444" s="1405">
        <f>ROUND(IF(L444='S1&amp;2 Lists'!$CV$3,K444,IF(L444='S1&amp;2 Lists'!$CV$4,K444/'S1&amp;2 Lists'!$CQ$6,0)),3)</f>
        <v>0</v>
      </c>
      <c r="Q444" s="10" t="s">
        <v>12</v>
      </c>
    </row>
    <row r="445" spans="1:17" s="651" customFormat="1">
      <c r="A445" s="455"/>
      <c r="B445" s="455"/>
      <c r="C445" s="652"/>
      <c r="D445" s="455"/>
      <c r="E445" s="653"/>
      <c r="F445" s="455"/>
      <c r="G445" s="647"/>
      <c r="H445" s="455"/>
      <c r="I445" s="653"/>
      <c r="J445" s="455"/>
      <c r="K445" s="455"/>
      <c r="L445" s="455"/>
      <c r="M445" s="1404" t="str">
        <f>+IFERROR(VLOOKUP(G445,'S1&amp;2 Lists'!$C$4:$G$200,3,FALSE),"-")</f>
        <v>-</v>
      </c>
      <c r="N445" s="1404" t="str">
        <f t="shared" si="6"/>
        <v>-</v>
      </c>
      <c r="P445" s="1405">
        <f>ROUND(IF(L445='S1&amp;2 Lists'!$CV$3,K445,IF(L445='S1&amp;2 Lists'!$CV$4,K445/'S1&amp;2 Lists'!$CQ$6,0)),3)</f>
        <v>0</v>
      </c>
      <c r="Q445" s="10" t="s">
        <v>12</v>
      </c>
    </row>
    <row r="446" spans="1:17" s="651" customFormat="1">
      <c r="A446" s="455"/>
      <c r="B446" s="455"/>
      <c r="C446" s="652"/>
      <c r="D446" s="455"/>
      <c r="E446" s="653"/>
      <c r="F446" s="455"/>
      <c r="G446" s="647"/>
      <c r="H446" s="455"/>
      <c r="I446" s="653"/>
      <c r="J446" s="455"/>
      <c r="K446" s="455"/>
      <c r="L446" s="455"/>
      <c r="M446" s="1404" t="str">
        <f>+IFERROR(VLOOKUP(G446,'S1&amp;2 Lists'!$C$4:$G$200,3,FALSE),"-")</f>
        <v>-</v>
      </c>
      <c r="N446" s="1404" t="str">
        <f t="shared" si="6"/>
        <v>-</v>
      </c>
      <c r="P446" s="1405">
        <f>ROUND(IF(L446='S1&amp;2 Lists'!$CV$3,K446,IF(L446='S1&amp;2 Lists'!$CV$4,K446/'S1&amp;2 Lists'!$CQ$6,0)),3)</f>
        <v>0</v>
      </c>
      <c r="Q446" s="10" t="s">
        <v>12</v>
      </c>
    </row>
    <row r="447" spans="1:17" s="651" customFormat="1">
      <c r="A447" s="455"/>
      <c r="B447" s="455"/>
      <c r="C447" s="652"/>
      <c r="D447" s="455"/>
      <c r="E447" s="653"/>
      <c r="F447" s="455"/>
      <c r="G447" s="647"/>
      <c r="H447" s="455"/>
      <c r="I447" s="653"/>
      <c r="J447" s="455"/>
      <c r="K447" s="455"/>
      <c r="L447" s="455"/>
      <c r="M447" s="1404" t="str">
        <f>+IFERROR(VLOOKUP(G447,'S1&amp;2 Lists'!$C$4:$G$200,3,FALSE),"-")</f>
        <v>-</v>
      </c>
      <c r="N447" s="1404" t="str">
        <f t="shared" si="6"/>
        <v>-</v>
      </c>
      <c r="P447" s="1405">
        <f>ROUND(IF(L447='S1&amp;2 Lists'!$CV$3,K447,IF(L447='S1&amp;2 Lists'!$CV$4,K447/'S1&amp;2 Lists'!$CQ$6,0)),3)</f>
        <v>0</v>
      </c>
      <c r="Q447" s="10" t="s">
        <v>12</v>
      </c>
    </row>
    <row r="448" spans="1:17" s="651" customFormat="1">
      <c r="A448" s="455"/>
      <c r="B448" s="455"/>
      <c r="C448" s="652"/>
      <c r="D448" s="455"/>
      <c r="E448" s="653"/>
      <c r="F448" s="455"/>
      <c r="G448" s="647"/>
      <c r="H448" s="455"/>
      <c r="I448" s="653"/>
      <c r="J448" s="455"/>
      <c r="K448" s="455"/>
      <c r="L448" s="455"/>
      <c r="M448" s="1404" t="str">
        <f>+IFERROR(VLOOKUP(G448,'S1&amp;2 Lists'!$C$4:$G$200,3,FALSE),"-")</f>
        <v>-</v>
      </c>
      <c r="N448" s="1404" t="str">
        <f t="shared" si="6"/>
        <v>-</v>
      </c>
      <c r="P448" s="1405">
        <f>ROUND(IF(L448='S1&amp;2 Lists'!$CV$3,K448,IF(L448='S1&amp;2 Lists'!$CV$4,K448/'S1&amp;2 Lists'!$CQ$6,0)),3)</f>
        <v>0</v>
      </c>
      <c r="Q448" s="10" t="s">
        <v>12</v>
      </c>
    </row>
    <row r="449" spans="1:17" s="651" customFormat="1">
      <c r="A449" s="455"/>
      <c r="B449" s="455"/>
      <c r="C449" s="652"/>
      <c r="D449" s="455"/>
      <c r="E449" s="653"/>
      <c r="F449" s="455"/>
      <c r="G449" s="647"/>
      <c r="H449" s="455"/>
      <c r="I449" s="653"/>
      <c r="J449" s="455"/>
      <c r="K449" s="455"/>
      <c r="L449" s="455"/>
      <c r="M449" s="1404" t="str">
        <f>+IFERROR(VLOOKUP(G449,'S1&amp;2 Lists'!$C$4:$G$200,3,FALSE),"-")</f>
        <v>-</v>
      </c>
      <c r="N449" s="1404" t="str">
        <f t="shared" si="6"/>
        <v>-</v>
      </c>
      <c r="P449" s="1405">
        <f>ROUND(IF(L449='S1&amp;2 Lists'!$CV$3,K449,IF(L449='S1&amp;2 Lists'!$CV$4,K449/'S1&amp;2 Lists'!$CQ$6,0)),3)</f>
        <v>0</v>
      </c>
      <c r="Q449" s="10" t="s">
        <v>12</v>
      </c>
    </row>
    <row r="450" spans="1:17" s="651" customFormat="1">
      <c r="A450" s="455"/>
      <c r="B450" s="455"/>
      <c r="C450" s="652"/>
      <c r="D450" s="455"/>
      <c r="E450" s="653"/>
      <c r="F450" s="455"/>
      <c r="G450" s="647"/>
      <c r="H450" s="455"/>
      <c r="I450" s="653"/>
      <c r="J450" s="455"/>
      <c r="K450" s="455"/>
      <c r="L450" s="455"/>
      <c r="M450" s="1404" t="str">
        <f>+IFERROR(VLOOKUP(G450,'S1&amp;2 Lists'!$C$4:$G$200,3,FALSE),"-")</f>
        <v>-</v>
      </c>
      <c r="N450" s="1404" t="str">
        <f t="shared" si="6"/>
        <v>-</v>
      </c>
      <c r="P450" s="1405">
        <f>ROUND(IF(L450='S1&amp;2 Lists'!$CV$3,K450,IF(L450='S1&amp;2 Lists'!$CV$4,K450/'S1&amp;2 Lists'!$CQ$6,0)),3)</f>
        <v>0</v>
      </c>
      <c r="Q450" s="10" t="s">
        <v>12</v>
      </c>
    </row>
    <row r="451" spans="1:17" s="651" customFormat="1">
      <c r="A451" s="455"/>
      <c r="B451" s="455"/>
      <c r="C451" s="652"/>
      <c r="D451" s="455"/>
      <c r="E451" s="653"/>
      <c r="F451" s="455"/>
      <c r="G451" s="647"/>
      <c r="H451" s="455"/>
      <c r="I451" s="653"/>
      <c r="J451" s="455"/>
      <c r="K451" s="455"/>
      <c r="L451" s="455"/>
      <c r="M451" s="1404" t="str">
        <f>+IFERROR(VLOOKUP(G451,'S1&amp;2 Lists'!$C$4:$G$200,3,FALSE),"-")</f>
        <v>-</v>
      </c>
      <c r="N451" s="1404" t="str">
        <f t="shared" si="6"/>
        <v>-</v>
      </c>
      <c r="P451" s="1405">
        <f>ROUND(IF(L451='S1&amp;2 Lists'!$CV$3,K451,IF(L451='S1&amp;2 Lists'!$CV$4,K451/'S1&amp;2 Lists'!$CQ$6,0)),3)</f>
        <v>0</v>
      </c>
      <c r="Q451" s="10" t="s">
        <v>12</v>
      </c>
    </row>
    <row r="452" spans="1:17" s="651" customFormat="1">
      <c r="A452" s="455"/>
      <c r="B452" s="455"/>
      <c r="C452" s="652"/>
      <c r="D452" s="455"/>
      <c r="E452" s="653"/>
      <c r="F452" s="455"/>
      <c r="G452" s="647"/>
      <c r="H452" s="455"/>
      <c r="I452" s="653"/>
      <c r="J452" s="455"/>
      <c r="K452" s="455"/>
      <c r="L452" s="455"/>
      <c r="M452" s="1404" t="str">
        <f>+IFERROR(VLOOKUP(G452,'S1&amp;2 Lists'!$C$4:$G$200,3,FALSE),"-")</f>
        <v>-</v>
      </c>
      <c r="N452" s="1404" t="str">
        <f t="shared" si="6"/>
        <v>-</v>
      </c>
      <c r="P452" s="1405">
        <f>ROUND(IF(L452='S1&amp;2 Lists'!$CV$3,K452,IF(L452='S1&amp;2 Lists'!$CV$4,K452/'S1&amp;2 Lists'!$CQ$6,0)),3)</f>
        <v>0</v>
      </c>
      <c r="Q452" s="10" t="s">
        <v>12</v>
      </c>
    </row>
    <row r="453" spans="1:17" s="651" customFormat="1">
      <c r="A453" s="455"/>
      <c r="B453" s="455"/>
      <c r="C453" s="652"/>
      <c r="D453" s="455"/>
      <c r="E453" s="653"/>
      <c r="F453" s="455"/>
      <c r="G453" s="647"/>
      <c r="H453" s="455"/>
      <c r="I453" s="653"/>
      <c r="J453" s="455"/>
      <c r="K453" s="455"/>
      <c r="L453" s="455"/>
      <c r="M453" s="1404" t="str">
        <f>+IFERROR(VLOOKUP(G453,'S1&amp;2 Lists'!$C$4:$G$200,3,FALSE),"-")</f>
        <v>-</v>
      </c>
      <c r="N453" s="1404" t="str">
        <f t="shared" si="6"/>
        <v>-</v>
      </c>
      <c r="P453" s="1405">
        <f>ROUND(IF(L453='S1&amp;2 Lists'!$CV$3,K453,IF(L453='S1&amp;2 Lists'!$CV$4,K453/'S1&amp;2 Lists'!$CQ$6,0)),3)</f>
        <v>0</v>
      </c>
      <c r="Q453" s="10" t="s">
        <v>12</v>
      </c>
    </row>
    <row r="454" spans="1:17" s="651" customFormat="1">
      <c r="A454" s="455"/>
      <c r="B454" s="455"/>
      <c r="C454" s="652"/>
      <c r="D454" s="455"/>
      <c r="E454" s="653"/>
      <c r="F454" s="455"/>
      <c r="G454" s="647"/>
      <c r="H454" s="455"/>
      <c r="I454" s="653"/>
      <c r="J454" s="455"/>
      <c r="K454" s="455"/>
      <c r="L454" s="455"/>
      <c r="M454" s="1404" t="str">
        <f>+IFERROR(VLOOKUP(G454,'S1&amp;2 Lists'!$C$4:$G$200,3,FALSE),"-")</f>
        <v>-</v>
      </c>
      <c r="N454" s="1404" t="str">
        <f t="shared" si="6"/>
        <v>-</v>
      </c>
      <c r="P454" s="1405">
        <f>ROUND(IF(L454='S1&amp;2 Lists'!$CV$3,K454,IF(L454='S1&amp;2 Lists'!$CV$4,K454/'S1&amp;2 Lists'!$CQ$6,0)),3)</f>
        <v>0</v>
      </c>
      <c r="Q454" s="10" t="s">
        <v>12</v>
      </c>
    </row>
    <row r="455" spans="1:17" s="651" customFormat="1">
      <c r="A455" s="455"/>
      <c r="B455" s="455"/>
      <c r="C455" s="652"/>
      <c r="D455" s="455"/>
      <c r="E455" s="653"/>
      <c r="F455" s="455"/>
      <c r="G455" s="647"/>
      <c r="H455" s="455"/>
      <c r="I455" s="653"/>
      <c r="J455" s="455"/>
      <c r="K455" s="455"/>
      <c r="L455" s="455"/>
      <c r="M455" s="1404" t="str">
        <f>+IFERROR(VLOOKUP(G455,'S1&amp;2 Lists'!$C$4:$G$200,3,FALSE),"-")</f>
        <v>-</v>
      </c>
      <c r="N455" s="1404" t="str">
        <f t="shared" si="6"/>
        <v>-</v>
      </c>
      <c r="P455" s="1405">
        <f>ROUND(IF(L455='S1&amp;2 Lists'!$CV$3,K455,IF(L455='S1&amp;2 Lists'!$CV$4,K455/'S1&amp;2 Lists'!$CQ$6,0)),3)</f>
        <v>0</v>
      </c>
      <c r="Q455" s="10" t="s">
        <v>12</v>
      </c>
    </row>
    <row r="456" spans="1:17" s="651" customFormat="1">
      <c r="A456" s="455"/>
      <c r="B456" s="455"/>
      <c r="C456" s="652"/>
      <c r="D456" s="455"/>
      <c r="E456" s="653"/>
      <c r="F456" s="455"/>
      <c r="G456" s="647"/>
      <c r="H456" s="455"/>
      <c r="I456" s="653"/>
      <c r="J456" s="455"/>
      <c r="K456" s="455"/>
      <c r="L456" s="455"/>
      <c r="M456" s="1404" t="str">
        <f>+IFERROR(VLOOKUP(G456,'S1&amp;2 Lists'!$C$4:$G$200,3,FALSE),"-")</f>
        <v>-</v>
      </c>
      <c r="N456" s="1404" t="str">
        <f t="shared" si="6"/>
        <v>-</v>
      </c>
      <c r="P456" s="1405">
        <f>ROUND(IF(L456='S1&amp;2 Lists'!$CV$3,K456,IF(L456='S1&amp;2 Lists'!$CV$4,K456/'S1&amp;2 Lists'!$CQ$6,0)),3)</f>
        <v>0</v>
      </c>
      <c r="Q456" s="10" t="s">
        <v>12</v>
      </c>
    </row>
    <row r="457" spans="1:17" s="651" customFormat="1">
      <c r="A457" s="455"/>
      <c r="B457" s="455"/>
      <c r="C457" s="652"/>
      <c r="D457" s="455"/>
      <c r="E457" s="653"/>
      <c r="F457" s="455"/>
      <c r="G457" s="647"/>
      <c r="H457" s="455"/>
      <c r="I457" s="653"/>
      <c r="J457" s="455"/>
      <c r="K457" s="455"/>
      <c r="L457" s="455"/>
      <c r="M457" s="1404" t="str">
        <f>+IFERROR(VLOOKUP(G457,'S1&amp;2 Lists'!$C$4:$G$200,3,FALSE),"-")</f>
        <v>-</v>
      </c>
      <c r="N457" s="1404" t="str">
        <f t="shared" si="6"/>
        <v>-</v>
      </c>
      <c r="P457" s="1405">
        <f>ROUND(IF(L457='S1&amp;2 Lists'!$CV$3,K457,IF(L457='S1&amp;2 Lists'!$CV$4,K457/'S1&amp;2 Lists'!$CQ$6,0)),3)</f>
        <v>0</v>
      </c>
      <c r="Q457" s="10" t="s">
        <v>12</v>
      </c>
    </row>
    <row r="458" spans="1:17" s="651" customFormat="1">
      <c r="A458" s="455"/>
      <c r="B458" s="455"/>
      <c r="C458" s="652"/>
      <c r="D458" s="455"/>
      <c r="E458" s="653"/>
      <c r="F458" s="455"/>
      <c r="G458" s="647"/>
      <c r="H458" s="455"/>
      <c r="I458" s="653"/>
      <c r="J458" s="455"/>
      <c r="K458" s="455"/>
      <c r="L458" s="455"/>
      <c r="M458" s="1404" t="str">
        <f>+IFERROR(VLOOKUP(G458,'S1&amp;2 Lists'!$C$4:$G$200,3,FALSE),"-")</f>
        <v>-</v>
      </c>
      <c r="N458" s="1404" t="str">
        <f t="shared" si="6"/>
        <v>-</v>
      </c>
      <c r="P458" s="1405">
        <f>ROUND(IF(L458='S1&amp;2 Lists'!$CV$3,K458,IF(L458='S1&amp;2 Lists'!$CV$4,K458/'S1&amp;2 Lists'!$CQ$6,0)),3)</f>
        <v>0</v>
      </c>
      <c r="Q458" s="10" t="s">
        <v>12</v>
      </c>
    </row>
    <row r="459" spans="1:17" s="651" customFormat="1">
      <c r="A459" s="455"/>
      <c r="B459" s="455"/>
      <c r="C459" s="652"/>
      <c r="D459" s="455"/>
      <c r="E459" s="653"/>
      <c r="F459" s="455"/>
      <c r="G459" s="647"/>
      <c r="H459" s="455"/>
      <c r="I459" s="653"/>
      <c r="J459" s="455"/>
      <c r="K459" s="455"/>
      <c r="L459" s="455"/>
      <c r="M459" s="1404" t="str">
        <f>+IFERROR(VLOOKUP(G459,'S1&amp;2 Lists'!$C$4:$G$200,3,FALSE),"-")</f>
        <v>-</v>
      </c>
      <c r="N459" s="1404" t="str">
        <f t="shared" ref="N459:N522" si="7">+IFERROR(P459*M459,"-")</f>
        <v>-</v>
      </c>
      <c r="P459" s="1405">
        <f>ROUND(IF(L459='S1&amp;2 Lists'!$CV$3,K459,IF(L459='S1&amp;2 Lists'!$CV$4,K459/'S1&amp;2 Lists'!$CQ$6,0)),3)</f>
        <v>0</v>
      </c>
      <c r="Q459" s="10" t="s">
        <v>12</v>
      </c>
    </row>
    <row r="460" spans="1:17" s="651" customFormat="1">
      <c r="A460" s="455"/>
      <c r="B460" s="455"/>
      <c r="C460" s="652"/>
      <c r="D460" s="455"/>
      <c r="E460" s="653"/>
      <c r="F460" s="455"/>
      <c r="G460" s="647"/>
      <c r="H460" s="455"/>
      <c r="I460" s="653"/>
      <c r="J460" s="455"/>
      <c r="K460" s="455"/>
      <c r="L460" s="455"/>
      <c r="M460" s="1404" t="str">
        <f>+IFERROR(VLOOKUP(G460,'S1&amp;2 Lists'!$C$4:$G$200,3,FALSE),"-")</f>
        <v>-</v>
      </c>
      <c r="N460" s="1404" t="str">
        <f t="shared" si="7"/>
        <v>-</v>
      </c>
      <c r="P460" s="1405">
        <f>ROUND(IF(L460='S1&amp;2 Lists'!$CV$3,K460,IF(L460='S1&amp;2 Lists'!$CV$4,K460/'S1&amp;2 Lists'!$CQ$6,0)),3)</f>
        <v>0</v>
      </c>
      <c r="Q460" s="10" t="s">
        <v>12</v>
      </c>
    </row>
    <row r="461" spans="1:17" s="651" customFormat="1">
      <c r="A461" s="455"/>
      <c r="B461" s="455"/>
      <c r="C461" s="652"/>
      <c r="D461" s="455"/>
      <c r="E461" s="653"/>
      <c r="F461" s="455"/>
      <c r="G461" s="647"/>
      <c r="H461" s="455"/>
      <c r="I461" s="653"/>
      <c r="J461" s="455"/>
      <c r="K461" s="455"/>
      <c r="L461" s="455"/>
      <c r="M461" s="1404" t="str">
        <f>+IFERROR(VLOOKUP(G461,'S1&amp;2 Lists'!$C$4:$G$200,3,FALSE),"-")</f>
        <v>-</v>
      </c>
      <c r="N461" s="1404" t="str">
        <f t="shared" si="7"/>
        <v>-</v>
      </c>
      <c r="P461" s="1405">
        <f>ROUND(IF(L461='S1&amp;2 Lists'!$CV$3,K461,IF(L461='S1&amp;2 Lists'!$CV$4,K461/'S1&amp;2 Lists'!$CQ$6,0)),3)</f>
        <v>0</v>
      </c>
      <c r="Q461" s="10" t="s">
        <v>12</v>
      </c>
    </row>
    <row r="462" spans="1:17" s="651" customFormat="1">
      <c r="A462" s="455"/>
      <c r="B462" s="455"/>
      <c r="C462" s="652"/>
      <c r="D462" s="455"/>
      <c r="E462" s="653"/>
      <c r="F462" s="455"/>
      <c r="G462" s="647"/>
      <c r="H462" s="455"/>
      <c r="I462" s="653"/>
      <c r="J462" s="455"/>
      <c r="K462" s="455"/>
      <c r="L462" s="455"/>
      <c r="M462" s="1404" t="str">
        <f>+IFERROR(VLOOKUP(G462,'S1&amp;2 Lists'!$C$4:$G$200,3,FALSE),"-")</f>
        <v>-</v>
      </c>
      <c r="N462" s="1404" t="str">
        <f t="shared" si="7"/>
        <v>-</v>
      </c>
      <c r="P462" s="1405">
        <f>ROUND(IF(L462='S1&amp;2 Lists'!$CV$3,K462,IF(L462='S1&amp;2 Lists'!$CV$4,K462/'S1&amp;2 Lists'!$CQ$6,0)),3)</f>
        <v>0</v>
      </c>
      <c r="Q462" s="10" t="s">
        <v>12</v>
      </c>
    </row>
    <row r="463" spans="1:17" s="651" customFormat="1">
      <c r="A463" s="455"/>
      <c r="B463" s="455"/>
      <c r="C463" s="652"/>
      <c r="D463" s="455"/>
      <c r="E463" s="653"/>
      <c r="F463" s="455"/>
      <c r="G463" s="647"/>
      <c r="H463" s="455"/>
      <c r="I463" s="653"/>
      <c r="J463" s="455"/>
      <c r="K463" s="455"/>
      <c r="L463" s="455"/>
      <c r="M463" s="1404" t="str">
        <f>+IFERROR(VLOOKUP(G463,'S1&amp;2 Lists'!$C$4:$G$200,3,FALSE),"-")</f>
        <v>-</v>
      </c>
      <c r="N463" s="1404" t="str">
        <f t="shared" si="7"/>
        <v>-</v>
      </c>
      <c r="P463" s="1405">
        <f>ROUND(IF(L463='S1&amp;2 Lists'!$CV$3,K463,IF(L463='S1&amp;2 Lists'!$CV$4,K463/'S1&amp;2 Lists'!$CQ$6,0)),3)</f>
        <v>0</v>
      </c>
      <c r="Q463" s="10" t="s">
        <v>12</v>
      </c>
    </row>
    <row r="464" spans="1:17" s="651" customFormat="1">
      <c r="A464" s="455"/>
      <c r="B464" s="455"/>
      <c r="C464" s="652"/>
      <c r="D464" s="455"/>
      <c r="E464" s="653"/>
      <c r="F464" s="455"/>
      <c r="G464" s="647"/>
      <c r="H464" s="455"/>
      <c r="I464" s="653"/>
      <c r="J464" s="455"/>
      <c r="K464" s="455"/>
      <c r="L464" s="455"/>
      <c r="M464" s="1404" t="str">
        <f>+IFERROR(VLOOKUP(G464,'S1&amp;2 Lists'!$C$4:$G$200,3,FALSE),"-")</f>
        <v>-</v>
      </c>
      <c r="N464" s="1404" t="str">
        <f t="shared" si="7"/>
        <v>-</v>
      </c>
      <c r="P464" s="1405">
        <f>ROUND(IF(L464='S1&amp;2 Lists'!$CV$3,K464,IF(L464='S1&amp;2 Lists'!$CV$4,K464/'S1&amp;2 Lists'!$CQ$6,0)),3)</f>
        <v>0</v>
      </c>
      <c r="Q464" s="10" t="s">
        <v>12</v>
      </c>
    </row>
    <row r="465" spans="1:17" s="651" customFormat="1">
      <c r="A465" s="455"/>
      <c r="B465" s="455"/>
      <c r="C465" s="652"/>
      <c r="D465" s="455"/>
      <c r="E465" s="653"/>
      <c r="F465" s="455"/>
      <c r="G465" s="647"/>
      <c r="H465" s="455"/>
      <c r="I465" s="653"/>
      <c r="J465" s="455"/>
      <c r="K465" s="455"/>
      <c r="L465" s="455"/>
      <c r="M465" s="1404" t="str">
        <f>+IFERROR(VLOOKUP(G465,'S1&amp;2 Lists'!$C$4:$G$200,3,FALSE),"-")</f>
        <v>-</v>
      </c>
      <c r="N465" s="1404" t="str">
        <f t="shared" si="7"/>
        <v>-</v>
      </c>
      <c r="P465" s="1405">
        <f>ROUND(IF(L465='S1&amp;2 Lists'!$CV$3,K465,IF(L465='S1&amp;2 Lists'!$CV$4,K465/'S1&amp;2 Lists'!$CQ$6,0)),3)</f>
        <v>0</v>
      </c>
      <c r="Q465" s="10" t="s">
        <v>12</v>
      </c>
    </row>
    <row r="466" spans="1:17" s="651" customFormat="1">
      <c r="A466" s="455"/>
      <c r="B466" s="455"/>
      <c r="C466" s="652"/>
      <c r="D466" s="455"/>
      <c r="E466" s="653"/>
      <c r="F466" s="455"/>
      <c r="G466" s="647"/>
      <c r="H466" s="455"/>
      <c r="I466" s="653"/>
      <c r="J466" s="455"/>
      <c r="K466" s="455"/>
      <c r="L466" s="455"/>
      <c r="M466" s="1404" t="str">
        <f>+IFERROR(VLOOKUP(G466,'S1&amp;2 Lists'!$C$4:$G$200,3,FALSE),"-")</f>
        <v>-</v>
      </c>
      <c r="N466" s="1404" t="str">
        <f t="shared" si="7"/>
        <v>-</v>
      </c>
      <c r="P466" s="1405">
        <f>ROUND(IF(L466='S1&amp;2 Lists'!$CV$3,K466,IF(L466='S1&amp;2 Lists'!$CV$4,K466/'S1&amp;2 Lists'!$CQ$6,0)),3)</f>
        <v>0</v>
      </c>
      <c r="Q466" s="10" t="s">
        <v>12</v>
      </c>
    </row>
    <row r="467" spans="1:17" s="651" customFormat="1">
      <c r="A467" s="455"/>
      <c r="B467" s="455"/>
      <c r="C467" s="652"/>
      <c r="D467" s="455"/>
      <c r="E467" s="653"/>
      <c r="F467" s="455"/>
      <c r="G467" s="647"/>
      <c r="H467" s="455"/>
      <c r="I467" s="653"/>
      <c r="J467" s="455"/>
      <c r="K467" s="455"/>
      <c r="L467" s="455"/>
      <c r="M467" s="1404" t="str">
        <f>+IFERROR(VLOOKUP(G467,'S1&amp;2 Lists'!$C$4:$G$200,3,FALSE),"-")</f>
        <v>-</v>
      </c>
      <c r="N467" s="1404" t="str">
        <f t="shared" si="7"/>
        <v>-</v>
      </c>
      <c r="P467" s="1405">
        <f>ROUND(IF(L467='S1&amp;2 Lists'!$CV$3,K467,IF(L467='S1&amp;2 Lists'!$CV$4,K467/'S1&amp;2 Lists'!$CQ$6,0)),3)</f>
        <v>0</v>
      </c>
      <c r="Q467" s="10" t="s">
        <v>12</v>
      </c>
    </row>
    <row r="468" spans="1:17" s="651" customFormat="1">
      <c r="A468" s="455"/>
      <c r="B468" s="455"/>
      <c r="C468" s="652"/>
      <c r="D468" s="455"/>
      <c r="E468" s="653"/>
      <c r="F468" s="455"/>
      <c r="G468" s="647"/>
      <c r="H468" s="455"/>
      <c r="I468" s="653"/>
      <c r="J468" s="455"/>
      <c r="K468" s="455"/>
      <c r="L468" s="455"/>
      <c r="M468" s="1404" t="str">
        <f>+IFERROR(VLOOKUP(G468,'S1&amp;2 Lists'!$C$4:$G$200,3,FALSE),"-")</f>
        <v>-</v>
      </c>
      <c r="N468" s="1404" t="str">
        <f t="shared" si="7"/>
        <v>-</v>
      </c>
      <c r="P468" s="1405">
        <f>ROUND(IF(L468='S1&amp;2 Lists'!$CV$3,K468,IF(L468='S1&amp;2 Lists'!$CV$4,K468/'S1&amp;2 Lists'!$CQ$6,0)),3)</f>
        <v>0</v>
      </c>
      <c r="Q468" s="10" t="s">
        <v>12</v>
      </c>
    </row>
    <row r="469" spans="1:17" s="651" customFormat="1">
      <c r="A469" s="455"/>
      <c r="B469" s="455"/>
      <c r="C469" s="652"/>
      <c r="D469" s="455"/>
      <c r="E469" s="653"/>
      <c r="F469" s="455"/>
      <c r="G469" s="647"/>
      <c r="H469" s="455"/>
      <c r="I469" s="653"/>
      <c r="J469" s="455"/>
      <c r="K469" s="455"/>
      <c r="L469" s="455"/>
      <c r="M469" s="1404" t="str">
        <f>+IFERROR(VLOOKUP(G469,'S1&amp;2 Lists'!$C$4:$G$200,3,FALSE),"-")</f>
        <v>-</v>
      </c>
      <c r="N469" s="1404" t="str">
        <f t="shared" si="7"/>
        <v>-</v>
      </c>
      <c r="P469" s="1405">
        <f>ROUND(IF(L469='S1&amp;2 Lists'!$CV$3,K469,IF(L469='S1&amp;2 Lists'!$CV$4,K469/'S1&amp;2 Lists'!$CQ$6,0)),3)</f>
        <v>0</v>
      </c>
      <c r="Q469" s="10" t="s">
        <v>12</v>
      </c>
    </row>
    <row r="470" spans="1:17" s="651" customFormat="1">
      <c r="A470" s="455"/>
      <c r="B470" s="455"/>
      <c r="C470" s="652"/>
      <c r="D470" s="455"/>
      <c r="E470" s="653"/>
      <c r="F470" s="455"/>
      <c r="G470" s="647"/>
      <c r="H470" s="455"/>
      <c r="I470" s="653"/>
      <c r="J470" s="455"/>
      <c r="K470" s="455"/>
      <c r="L470" s="455"/>
      <c r="M470" s="1404" t="str">
        <f>+IFERROR(VLOOKUP(G470,'S1&amp;2 Lists'!$C$4:$G$200,3,FALSE),"-")</f>
        <v>-</v>
      </c>
      <c r="N470" s="1404" t="str">
        <f t="shared" si="7"/>
        <v>-</v>
      </c>
      <c r="P470" s="1405">
        <f>ROUND(IF(L470='S1&amp;2 Lists'!$CV$3,K470,IF(L470='S1&amp;2 Lists'!$CV$4,K470/'S1&amp;2 Lists'!$CQ$6,0)),3)</f>
        <v>0</v>
      </c>
      <c r="Q470" s="10" t="s">
        <v>12</v>
      </c>
    </row>
    <row r="471" spans="1:17" s="651" customFormat="1">
      <c r="A471" s="455"/>
      <c r="B471" s="455"/>
      <c r="C471" s="652"/>
      <c r="D471" s="455"/>
      <c r="E471" s="653"/>
      <c r="F471" s="455"/>
      <c r="G471" s="647"/>
      <c r="H471" s="455"/>
      <c r="I471" s="653"/>
      <c r="J471" s="455"/>
      <c r="K471" s="455"/>
      <c r="L471" s="455"/>
      <c r="M471" s="1404" t="str">
        <f>+IFERROR(VLOOKUP(G471,'S1&amp;2 Lists'!$C$4:$G$200,3,FALSE),"-")</f>
        <v>-</v>
      </c>
      <c r="N471" s="1404" t="str">
        <f t="shared" si="7"/>
        <v>-</v>
      </c>
      <c r="P471" s="1405">
        <f>ROUND(IF(L471='S1&amp;2 Lists'!$CV$3,K471,IF(L471='S1&amp;2 Lists'!$CV$4,K471/'S1&amp;2 Lists'!$CQ$6,0)),3)</f>
        <v>0</v>
      </c>
      <c r="Q471" s="10" t="s">
        <v>12</v>
      </c>
    </row>
    <row r="472" spans="1:17" s="651" customFormat="1">
      <c r="A472" s="455"/>
      <c r="B472" s="455"/>
      <c r="C472" s="652"/>
      <c r="D472" s="455"/>
      <c r="E472" s="653"/>
      <c r="F472" s="455"/>
      <c r="G472" s="647"/>
      <c r="H472" s="455"/>
      <c r="I472" s="653"/>
      <c r="J472" s="455"/>
      <c r="K472" s="455"/>
      <c r="L472" s="455"/>
      <c r="M472" s="1404" t="str">
        <f>+IFERROR(VLOOKUP(G472,'S1&amp;2 Lists'!$C$4:$G$200,3,FALSE),"-")</f>
        <v>-</v>
      </c>
      <c r="N472" s="1404" t="str">
        <f t="shared" si="7"/>
        <v>-</v>
      </c>
      <c r="P472" s="1405">
        <f>ROUND(IF(L472='S1&amp;2 Lists'!$CV$3,K472,IF(L472='S1&amp;2 Lists'!$CV$4,K472/'S1&amp;2 Lists'!$CQ$6,0)),3)</f>
        <v>0</v>
      </c>
      <c r="Q472" s="10" t="s">
        <v>12</v>
      </c>
    </row>
    <row r="473" spans="1:17" s="651" customFormat="1">
      <c r="A473" s="455"/>
      <c r="B473" s="455"/>
      <c r="C473" s="652"/>
      <c r="D473" s="455"/>
      <c r="E473" s="653"/>
      <c r="F473" s="455"/>
      <c r="G473" s="647"/>
      <c r="H473" s="455"/>
      <c r="I473" s="653"/>
      <c r="J473" s="455"/>
      <c r="K473" s="455"/>
      <c r="L473" s="455"/>
      <c r="M473" s="1404" t="str">
        <f>+IFERROR(VLOOKUP(G473,'S1&amp;2 Lists'!$C$4:$G$200,3,FALSE),"-")</f>
        <v>-</v>
      </c>
      <c r="N473" s="1404" t="str">
        <f t="shared" si="7"/>
        <v>-</v>
      </c>
      <c r="P473" s="1405">
        <f>ROUND(IF(L473='S1&amp;2 Lists'!$CV$3,K473,IF(L473='S1&amp;2 Lists'!$CV$4,K473/'S1&amp;2 Lists'!$CQ$6,0)),3)</f>
        <v>0</v>
      </c>
      <c r="Q473" s="10" t="s">
        <v>12</v>
      </c>
    </row>
    <row r="474" spans="1:17" s="651" customFormat="1">
      <c r="A474" s="455"/>
      <c r="B474" s="455"/>
      <c r="C474" s="652"/>
      <c r="D474" s="455"/>
      <c r="E474" s="653"/>
      <c r="F474" s="455"/>
      <c r="G474" s="647"/>
      <c r="H474" s="455"/>
      <c r="I474" s="653"/>
      <c r="J474" s="455"/>
      <c r="K474" s="455"/>
      <c r="L474" s="455"/>
      <c r="M474" s="1404" t="str">
        <f>+IFERROR(VLOOKUP(G474,'S1&amp;2 Lists'!$C$4:$G$200,3,FALSE),"-")</f>
        <v>-</v>
      </c>
      <c r="N474" s="1404" t="str">
        <f t="shared" si="7"/>
        <v>-</v>
      </c>
      <c r="P474" s="1405">
        <f>ROUND(IF(L474='S1&amp;2 Lists'!$CV$3,K474,IF(L474='S1&amp;2 Lists'!$CV$4,K474/'S1&amp;2 Lists'!$CQ$6,0)),3)</f>
        <v>0</v>
      </c>
      <c r="Q474" s="10" t="s">
        <v>12</v>
      </c>
    </row>
    <row r="475" spans="1:17" s="651" customFormat="1">
      <c r="A475" s="455"/>
      <c r="B475" s="455"/>
      <c r="C475" s="652"/>
      <c r="D475" s="455"/>
      <c r="E475" s="653"/>
      <c r="F475" s="455"/>
      <c r="G475" s="647"/>
      <c r="H475" s="455"/>
      <c r="I475" s="653"/>
      <c r="J475" s="455"/>
      <c r="K475" s="455"/>
      <c r="L475" s="455"/>
      <c r="M475" s="1404" t="str">
        <f>+IFERROR(VLOOKUP(G475,'S1&amp;2 Lists'!$C$4:$G$200,3,FALSE),"-")</f>
        <v>-</v>
      </c>
      <c r="N475" s="1404" t="str">
        <f t="shared" si="7"/>
        <v>-</v>
      </c>
      <c r="P475" s="1405">
        <f>ROUND(IF(L475='S1&amp;2 Lists'!$CV$3,K475,IF(L475='S1&amp;2 Lists'!$CV$4,K475/'S1&amp;2 Lists'!$CQ$6,0)),3)</f>
        <v>0</v>
      </c>
      <c r="Q475" s="10" t="s">
        <v>12</v>
      </c>
    </row>
    <row r="476" spans="1:17" s="651" customFormat="1">
      <c r="A476" s="455"/>
      <c r="B476" s="455"/>
      <c r="C476" s="652"/>
      <c r="D476" s="455"/>
      <c r="E476" s="653"/>
      <c r="F476" s="455"/>
      <c r="G476" s="647"/>
      <c r="H476" s="455"/>
      <c r="I476" s="653"/>
      <c r="J476" s="455"/>
      <c r="K476" s="455"/>
      <c r="L476" s="455"/>
      <c r="M476" s="1404" t="str">
        <f>+IFERROR(VLOOKUP(G476,'S1&amp;2 Lists'!$C$4:$G$200,3,FALSE),"-")</f>
        <v>-</v>
      </c>
      <c r="N476" s="1404" t="str">
        <f t="shared" si="7"/>
        <v>-</v>
      </c>
      <c r="P476" s="1405">
        <f>ROUND(IF(L476='S1&amp;2 Lists'!$CV$3,K476,IF(L476='S1&amp;2 Lists'!$CV$4,K476/'S1&amp;2 Lists'!$CQ$6,0)),3)</f>
        <v>0</v>
      </c>
      <c r="Q476" s="10" t="s">
        <v>12</v>
      </c>
    </row>
    <row r="477" spans="1:17" s="651" customFormat="1">
      <c r="A477" s="455"/>
      <c r="B477" s="455"/>
      <c r="C477" s="652"/>
      <c r="D477" s="455"/>
      <c r="E477" s="653"/>
      <c r="F477" s="455"/>
      <c r="G477" s="647"/>
      <c r="H477" s="455"/>
      <c r="I477" s="653"/>
      <c r="J477" s="455"/>
      <c r="K477" s="455"/>
      <c r="L477" s="455"/>
      <c r="M477" s="1404" t="str">
        <f>+IFERROR(VLOOKUP(G477,'S1&amp;2 Lists'!$C$4:$G$200,3,FALSE),"-")</f>
        <v>-</v>
      </c>
      <c r="N477" s="1404" t="str">
        <f t="shared" si="7"/>
        <v>-</v>
      </c>
      <c r="P477" s="1405">
        <f>ROUND(IF(L477='S1&amp;2 Lists'!$CV$3,K477,IF(L477='S1&amp;2 Lists'!$CV$4,K477/'S1&amp;2 Lists'!$CQ$6,0)),3)</f>
        <v>0</v>
      </c>
      <c r="Q477" s="10" t="s">
        <v>12</v>
      </c>
    </row>
    <row r="478" spans="1:17" s="651" customFormat="1">
      <c r="A478" s="455"/>
      <c r="B478" s="455"/>
      <c r="C478" s="652"/>
      <c r="D478" s="455"/>
      <c r="E478" s="653"/>
      <c r="F478" s="455"/>
      <c r="G478" s="647"/>
      <c r="H478" s="455"/>
      <c r="I478" s="653"/>
      <c r="J478" s="455"/>
      <c r="K478" s="455"/>
      <c r="L478" s="455"/>
      <c r="M478" s="1404" t="str">
        <f>+IFERROR(VLOOKUP(G478,'S1&amp;2 Lists'!$C$4:$G$200,3,FALSE),"-")</f>
        <v>-</v>
      </c>
      <c r="N478" s="1404" t="str">
        <f t="shared" si="7"/>
        <v>-</v>
      </c>
      <c r="P478" s="1405">
        <f>ROUND(IF(L478='S1&amp;2 Lists'!$CV$3,K478,IF(L478='S1&amp;2 Lists'!$CV$4,K478/'S1&amp;2 Lists'!$CQ$6,0)),3)</f>
        <v>0</v>
      </c>
      <c r="Q478" s="10" t="s">
        <v>12</v>
      </c>
    </row>
    <row r="479" spans="1:17" s="651" customFormat="1">
      <c r="A479" s="455"/>
      <c r="B479" s="455"/>
      <c r="C479" s="652"/>
      <c r="D479" s="455"/>
      <c r="E479" s="653"/>
      <c r="F479" s="455"/>
      <c r="G479" s="647"/>
      <c r="H479" s="455"/>
      <c r="I479" s="653"/>
      <c r="J479" s="455"/>
      <c r="K479" s="455"/>
      <c r="L479" s="455"/>
      <c r="M479" s="1404" t="str">
        <f>+IFERROR(VLOOKUP(G479,'S1&amp;2 Lists'!$C$4:$G$200,3,FALSE),"-")</f>
        <v>-</v>
      </c>
      <c r="N479" s="1404" t="str">
        <f t="shared" si="7"/>
        <v>-</v>
      </c>
      <c r="P479" s="1405">
        <f>ROUND(IF(L479='S1&amp;2 Lists'!$CV$3,K479,IF(L479='S1&amp;2 Lists'!$CV$4,K479/'S1&amp;2 Lists'!$CQ$6,0)),3)</f>
        <v>0</v>
      </c>
      <c r="Q479" s="10" t="s">
        <v>12</v>
      </c>
    </row>
    <row r="480" spans="1:17" s="651" customFormat="1">
      <c r="A480" s="455"/>
      <c r="B480" s="455"/>
      <c r="C480" s="652"/>
      <c r="D480" s="455"/>
      <c r="E480" s="653"/>
      <c r="F480" s="455"/>
      <c r="G480" s="647"/>
      <c r="H480" s="455"/>
      <c r="I480" s="653"/>
      <c r="J480" s="455"/>
      <c r="K480" s="455"/>
      <c r="L480" s="455"/>
      <c r="M480" s="1404" t="str">
        <f>+IFERROR(VLOOKUP(G480,'S1&amp;2 Lists'!$C$4:$G$200,3,FALSE),"-")</f>
        <v>-</v>
      </c>
      <c r="N480" s="1404" t="str">
        <f t="shared" si="7"/>
        <v>-</v>
      </c>
      <c r="P480" s="1405">
        <f>ROUND(IF(L480='S1&amp;2 Lists'!$CV$3,K480,IF(L480='S1&amp;2 Lists'!$CV$4,K480/'S1&amp;2 Lists'!$CQ$6,0)),3)</f>
        <v>0</v>
      </c>
      <c r="Q480" s="10" t="s">
        <v>12</v>
      </c>
    </row>
    <row r="481" spans="1:17" s="651" customFormat="1">
      <c r="A481" s="455"/>
      <c r="B481" s="455"/>
      <c r="C481" s="652"/>
      <c r="D481" s="455"/>
      <c r="E481" s="653"/>
      <c r="F481" s="455"/>
      <c r="G481" s="647"/>
      <c r="H481" s="455"/>
      <c r="I481" s="653"/>
      <c r="J481" s="455"/>
      <c r="K481" s="455"/>
      <c r="L481" s="455"/>
      <c r="M481" s="1404" t="str">
        <f>+IFERROR(VLOOKUP(G481,'S1&amp;2 Lists'!$C$4:$G$200,3,FALSE),"-")</f>
        <v>-</v>
      </c>
      <c r="N481" s="1404" t="str">
        <f t="shared" si="7"/>
        <v>-</v>
      </c>
      <c r="P481" s="1405">
        <f>ROUND(IF(L481='S1&amp;2 Lists'!$CV$3,K481,IF(L481='S1&amp;2 Lists'!$CV$4,K481/'S1&amp;2 Lists'!$CQ$6,0)),3)</f>
        <v>0</v>
      </c>
      <c r="Q481" s="10" t="s">
        <v>12</v>
      </c>
    </row>
    <row r="482" spans="1:17" s="651" customFormat="1">
      <c r="A482" s="455"/>
      <c r="B482" s="455"/>
      <c r="C482" s="652"/>
      <c r="D482" s="455"/>
      <c r="E482" s="653"/>
      <c r="F482" s="455"/>
      <c r="G482" s="647"/>
      <c r="H482" s="455"/>
      <c r="I482" s="653"/>
      <c r="J482" s="455"/>
      <c r="K482" s="455"/>
      <c r="L482" s="455"/>
      <c r="M482" s="1404" t="str">
        <f>+IFERROR(VLOOKUP(G482,'S1&amp;2 Lists'!$C$4:$G$200,3,FALSE),"-")</f>
        <v>-</v>
      </c>
      <c r="N482" s="1404" t="str">
        <f t="shared" si="7"/>
        <v>-</v>
      </c>
      <c r="P482" s="1405">
        <f>ROUND(IF(L482='S1&amp;2 Lists'!$CV$3,K482,IF(L482='S1&amp;2 Lists'!$CV$4,K482/'S1&amp;2 Lists'!$CQ$6,0)),3)</f>
        <v>0</v>
      </c>
      <c r="Q482" s="10" t="s">
        <v>12</v>
      </c>
    </row>
    <row r="483" spans="1:17" s="651" customFormat="1">
      <c r="A483" s="455"/>
      <c r="B483" s="455"/>
      <c r="C483" s="652"/>
      <c r="D483" s="455"/>
      <c r="E483" s="653"/>
      <c r="F483" s="455"/>
      <c r="G483" s="647"/>
      <c r="H483" s="455"/>
      <c r="I483" s="653"/>
      <c r="J483" s="455"/>
      <c r="K483" s="455"/>
      <c r="L483" s="455"/>
      <c r="M483" s="1404" t="str">
        <f>+IFERROR(VLOOKUP(G483,'S1&amp;2 Lists'!$C$4:$G$200,3,FALSE),"-")</f>
        <v>-</v>
      </c>
      <c r="N483" s="1404" t="str">
        <f t="shared" si="7"/>
        <v>-</v>
      </c>
      <c r="P483" s="1405">
        <f>ROUND(IF(L483='S1&amp;2 Lists'!$CV$3,K483,IF(L483='S1&amp;2 Lists'!$CV$4,K483/'S1&amp;2 Lists'!$CQ$6,0)),3)</f>
        <v>0</v>
      </c>
      <c r="Q483" s="10" t="s">
        <v>12</v>
      </c>
    </row>
    <row r="484" spans="1:17" s="651" customFormat="1">
      <c r="A484" s="455"/>
      <c r="B484" s="455"/>
      <c r="C484" s="652"/>
      <c r="D484" s="455"/>
      <c r="E484" s="653"/>
      <c r="F484" s="455"/>
      <c r="G484" s="647"/>
      <c r="H484" s="455"/>
      <c r="I484" s="653"/>
      <c r="J484" s="455"/>
      <c r="K484" s="455"/>
      <c r="L484" s="455"/>
      <c r="M484" s="1404" t="str">
        <f>+IFERROR(VLOOKUP(G484,'S1&amp;2 Lists'!$C$4:$G$200,3,FALSE),"-")</f>
        <v>-</v>
      </c>
      <c r="N484" s="1404" t="str">
        <f t="shared" si="7"/>
        <v>-</v>
      </c>
      <c r="P484" s="1405">
        <f>ROUND(IF(L484='S1&amp;2 Lists'!$CV$3,K484,IF(L484='S1&amp;2 Lists'!$CV$4,K484/'S1&amp;2 Lists'!$CQ$6,0)),3)</f>
        <v>0</v>
      </c>
      <c r="Q484" s="10" t="s">
        <v>12</v>
      </c>
    </row>
    <row r="485" spans="1:17" s="651" customFormat="1">
      <c r="A485" s="455"/>
      <c r="B485" s="455"/>
      <c r="C485" s="652"/>
      <c r="D485" s="455"/>
      <c r="E485" s="653"/>
      <c r="F485" s="455"/>
      <c r="G485" s="647"/>
      <c r="H485" s="455"/>
      <c r="I485" s="653"/>
      <c r="J485" s="455"/>
      <c r="K485" s="455"/>
      <c r="L485" s="455"/>
      <c r="M485" s="1404" t="str">
        <f>+IFERROR(VLOOKUP(G485,'S1&amp;2 Lists'!$C$4:$G$200,3,FALSE),"-")</f>
        <v>-</v>
      </c>
      <c r="N485" s="1404" t="str">
        <f t="shared" si="7"/>
        <v>-</v>
      </c>
      <c r="P485" s="1405">
        <f>ROUND(IF(L485='S1&amp;2 Lists'!$CV$3,K485,IF(L485='S1&amp;2 Lists'!$CV$4,K485/'S1&amp;2 Lists'!$CQ$6,0)),3)</f>
        <v>0</v>
      </c>
      <c r="Q485" s="10" t="s">
        <v>12</v>
      </c>
    </row>
    <row r="486" spans="1:17" s="651" customFormat="1">
      <c r="A486" s="455"/>
      <c r="B486" s="455"/>
      <c r="C486" s="652"/>
      <c r="D486" s="455"/>
      <c r="E486" s="653"/>
      <c r="F486" s="455"/>
      <c r="G486" s="647"/>
      <c r="H486" s="455"/>
      <c r="I486" s="653"/>
      <c r="J486" s="455"/>
      <c r="K486" s="455"/>
      <c r="L486" s="455"/>
      <c r="M486" s="1404" t="str">
        <f>+IFERROR(VLOOKUP(G486,'S1&amp;2 Lists'!$C$4:$G$200,3,FALSE),"-")</f>
        <v>-</v>
      </c>
      <c r="N486" s="1404" t="str">
        <f t="shared" si="7"/>
        <v>-</v>
      </c>
      <c r="P486" s="1405">
        <f>ROUND(IF(L486='S1&amp;2 Lists'!$CV$3,K486,IF(L486='S1&amp;2 Lists'!$CV$4,K486/'S1&amp;2 Lists'!$CQ$6,0)),3)</f>
        <v>0</v>
      </c>
      <c r="Q486" s="10" t="s">
        <v>12</v>
      </c>
    </row>
    <row r="487" spans="1:17" s="651" customFormat="1">
      <c r="A487" s="455"/>
      <c r="B487" s="455"/>
      <c r="C487" s="652"/>
      <c r="D487" s="455"/>
      <c r="E487" s="653"/>
      <c r="F487" s="455"/>
      <c r="G487" s="647"/>
      <c r="H487" s="455"/>
      <c r="I487" s="653"/>
      <c r="J487" s="455"/>
      <c r="K487" s="455"/>
      <c r="L487" s="455"/>
      <c r="M487" s="1404" t="str">
        <f>+IFERROR(VLOOKUP(G487,'S1&amp;2 Lists'!$C$4:$G$200,3,FALSE),"-")</f>
        <v>-</v>
      </c>
      <c r="N487" s="1404" t="str">
        <f t="shared" si="7"/>
        <v>-</v>
      </c>
      <c r="P487" s="1405">
        <f>ROUND(IF(L487='S1&amp;2 Lists'!$CV$3,K487,IF(L487='S1&amp;2 Lists'!$CV$4,K487/'S1&amp;2 Lists'!$CQ$6,0)),3)</f>
        <v>0</v>
      </c>
      <c r="Q487" s="10" t="s">
        <v>12</v>
      </c>
    </row>
    <row r="488" spans="1:17" s="651" customFormat="1">
      <c r="A488" s="455"/>
      <c r="B488" s="455"/>
      <c r="C488" s="652"/>
      <c r="D488" s="455"/>
      <c r="E488" s="653"/>
      <c r="F488" s="455"/>
      <c r="G488" s="647"/>
      <c r="H488" s="455"/>
      <c r="I488" s="653"/>
      <c r="J488" s="455"/>
      <c r="K488" s="455"/>
      <c r="L488" s="455"/>
      <c r="M488" s="1404" t="str">
        <f>+IFERROR(VLOOKUP(G488,'S1&amp;2 Lists'!$C$4:$G$200,3,FALSE),"-")</f>
        <v>-</v>
      </c>
      <c r="N488" s="1404" t="str">
        <f t="shared" si="7"/>
        <v>-</v>
      </c>
      <c r="P488" s="1405">
        <f>ROUND(IF(L488='S1&amp;2 Lists'!$CV$3,K488,IF(L488='S1&amp;2 Lists'!$CV$4,K488/'S1&amp;2 Lists'!$CQ$6,0)),3)</f>
        <v>0</v>
      </c>
      <c r="Q488" s="10" t="s">
        <v>12</v>
      </c>
    </row>
    <row r="489" spans="1:17" s="651" customFormat="1">
      <c r="A489" s="455"/>
      <c r="B489" s="455"/>
      <c r="C489" s="652"/>
      <c r="D489" s="455"/>
      <c r="E489" s="653"/>
      <c r="F489" s="455"/>
      <c r="G489" s="647"/>
      <c r="H489" s="455"/>
      <c r="I489" s="653"/>
      <c r="J489" s="455"/>
      <c r="K489" s="455"/>
      <c r="L489" s="455"/>
      <c r="M489" s="1404" t="str">
        <f>+IFERROR(VLOOKUP(G489,'S1&amp;2 Lists'!$C$4:$G$200,3,FALSE),"-")</f>
        <v>-</v>
      </c>
      <c r="N489" s="1404" t="str">
        <f t="shared" si="7"/>
        <v>-</v>
      </c>
      <c r="P489" s="1405">
        <f>ROUND(IF(L489='S1&amp;2 Lists'!$CV$3,K489,IF(L489='S1&amp;2 Lists'!$CV$4,K489/'S1&amp;2 Lists'!$CQ$6,0)),3)</f>
        <v>0</v>
      </c>
      <c r="Q489" s="10" t="s">
        <v>12</v>
      </c>
    </row>
    <row r="490" spans="1:17" s="651" customFormat="1">
      <c r="A490" s="455"/>
      <c r="B490" s="455"/>
      <c r="C490" s="652"/>
      <c r="D490" s="455"/>
      <c r="E490" s="653"/>
      <c r="F490" s="455"/>
      <c r="G490" s="647"/>
      <c r="H490" s="455"/>
      <c r="I490" s="653"/>
      <c r="J490" s="455"/>
      <c r="K490" s="455"/>
      <c r="L490" s="455"/>
      <c r="M490" s="1404" t="str">
        <f>+IFERROR(VLOOKUP(G490,'S1&amp;2 Lists'!$C$4:$G$200,3,FALSE),"-")</f>
        <v>-</v>
      </c>
      <c r="N490" s="1404" t="str">
        <f t="shared" si="7"/>
        <v>-</v>
      </c>
      <c r="P490" s="1405">
        <f>ROUND(IF(L490='S1&amp;2 Lists'!$CV$3,K490,IF(L490='S1&amp;2 Lists'!$CV$4,K490/'S1&amp;2 Lists'!$CQ$6,0)),3)</f>
        <v>0</v>
      </c>
      <c r="Q490" s="10" t="s">
        <v>12</v>
      </c>
    </row>
    <row r="491" spans="1:17" s="651" customFormat="1">
      <c r="A491" s="455"/>
      <c r="B491" s="455"/>
      <c r="C491" s="652"/>
      <c r="D491" s="455"/>
      <c r="E491" s="653"/>
      <c r="F491" s="455"/>
      <c r="G491" s="647"/>
      <c r="H491" s="455"/>
      <c r="I491" s="653"/>
      <c r="J491" s="455"/>
      <c r="K491" s="455"/>
      <c r="L491" s="455"/>
      <c r="M491" s="1404" t="str">
        <f>+IFERROR(VLOOKUP(G491,'S1&amp;2 Lists'!$C$4:$G$200,3,FALSE),"-")</f>
        <v>-</v>
      </c>
      <c r="N491" s="1404" t="str">
        <f t="shared" si="7"/>
        <v>-</v>
      </c>
      <c r="P491" s="1405">
        <f>ROUND(IF(L491='S1&amp;2 Lists'!$CV$3,K491,IF(L491='S1&amp;2 Lists'!$CV$4,K491/'S1&amp;2 Lists'!$CQ$6,0)),3)</f>
        <v>0</v>
      </c>
      <c r="Q491" s="10" t="s">
        <v>12</v>
      </c>
    </row>
    <row r="492" spans="1:17" s="651" customFormat="1">
      <c r="A492" s="455"/>
      <c r="B492" s="455"/>
      <c r="C492" s="652"/>
      <c r="D492" s="455"/>
      <c r="E492" s="653"/>
      <c r="F492" s="455"/>
      <c r="G492" s="647"/>
      <c r="H492" s="455"/>
      <c r="I492" s="653"/>
      <c r="J492" s="455"/>
      <c r="K492" s="455"/>
      <c r="L492" s="455"/>
      <c r="M492" s="1404" t="str">
        <f>+IFERROR(VLOOKUP(G492,'S1&amp;2 Lists'!$C$4:$G$200,3,FALSE),"-")</f>
        <v>-</v>
      </c>
      <c r="N492" s="1404" t="str">
        <f t="shared" si="7"/>
        <v>-</v>
      </c>
      <c r="P492" s="1405">
        <f>ROUND(IF(L492='S1&amp;2 Lists'!$CV$3,K492,IF(L492='S1&amp;2 Lists'!$CV$4,K492/'S1&amp;2 Lists'!$CQ$6,0)),3)</f>
        <v>0</v>
      </c>
      <c r="Q492" s="10" t="s">
        <v>12</v>
      </c>
    </row>
    <row r="493" spans="1:17" s="651" customFormat="1">
      <c r="A493" s="455"/>
      <c r="B493" s="455"/>
      <c r="C493" s="652"/>
      <c r="D493" s="455"/>
      <c r="E493" s="653"/>
      <c r="F493" s="455"/>
      <c r="G493" s="647"/>
      <c r="H493" s="455"/>
      <c r="I493" s="653"/>
      <c r="J493" s="455"/>
      <c r="K493" s="455"/>
      <c r="L493" s="455"/>
      <c r="M493" s="1404" t="str">
        <f>+IFERROR(VLOOKUP(G493,'S1&amp;2 Lists'!$C$4:$G$200,3,FALSE),"-")</f>
        <v>-</v>
      </c>
      <c r="N493" s="1404" t="str">
        <f t="shared" si="7"/>
        <v>-</v>
      </c>
      <c r="P493" s="1405">
        <f>ROUND(IF(L493='S1&amp;2 Lists'!$CV$3,K493,IF(L493='S1&amp;2 Lists'!$CV$4,K493/'S1&amp;2 Lists'!$CQ$6,0)),3)</f>
        <v>0</v>
      </c>
      <c r="Q493" s="10" t="s">
        <v>12</v>
      </c>
    </row>
    <row r="494" spans="1:17" s="651" customFormat="1">
      <c r="A494" s="455"/>
      <c r="B494" s="455"/>
      <c r="C494" s="652"/>
      <c r="D494" s="455"/>
      <c r="E494" s="653"/>
      <c r="F494" s="455"/>
      <c r="G494" s="647"/>
      <c r="H494" s="455"/>
      <c r="I494" s="653"/>
      <c r="J494" s="455"/>
      <c r="K494" s="455"/>
      <c r="L494" s="455"/>
      <c r="M494" s="1404" t="str">
        <f>+IFERROR(VLOOKUP(G494,'S1&amp;2 Lists'!$C$4:$G$200,3,FALSE),"-")</f>
        <v>-</v>
      </c>
      <c r="N494" s="1404" t="str">
        <f t="shared" si="7"/>
        <v>-</v>
      </c>
      <c r="P494" s="1405">
        <f>ROUND(IF(L494='S1&amp;2 Lists'!$CV$3,K494,IF(L494='S1&amp;2 Lists'!$CV$4,K494/'S1&amp;2 Lists'!$CQ$6,0)),3)</f>
        <v>0</v>
      </c>
      <c r="Q494" s="10" t="s">
        <v>12</v>
      </c>
    </row>
    <row r="495" spans="1:17" s="651" customFormat="1">
      <c r="A495" s="455"/>
      <c r="B495" s="455"/>
      <c r="C495" s="652"/>
      <c r="D495" s="455"/>
      <c r="E495" s="653"/>
      <c r="F495" s="455"/>
      <c r="G495" s="647"/>
      <c r="H495" s="455"/>
      <c r="I495" s="653"/>
      <c r="J495" s="455"/>
      <c r="K495" s="455"/>
      <c r="L495" s="455"/>
      <c r="M495" s="1404" t="str">
        <f>+IFERROR(VLOOKUP(G495,'S1&amp;2 Lists'!$C$4:$G$200,3,FALSE),"-")</f>
        <v>-</v>
      </c>
      <c r="N495" s="1404" t="str">
        <f t="shared" si="7"/>
        <v>-</v>
      </c>
      <c r="P495" s="1405">
        <f>ROUND(IF(L495='S1&amp;2 Lists'!$CV$3,K495,IF(L495='S1&amp;2 Lists'!$CV$4,K495/'S1&amp;2 Lists'!$CQ$6,0)),3)</f>
        <v>0</v>
      </c>
      <c r="Q495" s="10" t="s">
        <v>12</v>
      </c>
    </row>
    <row r="496" spans="1:17" s="651" customFormat="1">
      <c r="A496" s="455"/>
      <c r="B496" s="455"/>
      <c r="C496" s="652"/>
      <c r="D496" s="455"/>
      <c r="E496" s="653"/>
      <c r="F496" s="455"/>
      <c r="G496" s="647"/>
      <c r="H496" s="455"/>
      <c r="I496" s="653"/>
      <c r="J496" s="455"/>
      <c r="K496" s="455"/>
      <c r="L496" s="455"/>
      <c r="M496" s="1404" t="str">
        <f>+IFERROR(VLOOKUP(G496,'S1&amp;2 Lists'!$C$4:$G$200,3,FALSE),"-")</f>
        <v>-</v>
      </c>
      <c r="N496" s="1404" t="str">
        <f t="shared" si="7"/>
        <v>-</v>
      </c>
      <c r="P496" s="1405">
        <f>ROUND(IF(L496='S1&amp;2 Lists'!$CV$3,K496,IF(L496='S1&amp;2 Lists'!$CV$4,K496/'S1&amp;2 Lists'!$CQ$6,0)),3)</f>
        <v>0</v>
      </c>
      <c r="Q496" s="10" t="s">
        <v>12</v>
      </c>
    </row>
    <row r="497" spans="1:17" s="651" customFormat="1">
      <c r="A497" s="455"/>
      <c r="B497" s="455"/>
      <c r="C497" s="652"/>
      <c r="D497" s="455"/>
      <c r="E497" s="653"/>
      <c r="F497" s="455"/>
      <c r="G497" s="647"/>
      <c r="H497" s="455"/>
      <c r="I497" s="653"/>
      <c r="J497" s="455"/>
      <c r="K497" s="455"/>
      <c r="L497" s="455"/>
      <c r="M497" s="1404" t="str">
        <f>+IFERROR(VLOOKUP(G497,'S1&amp;2 Lists'!$C$4:$G$200,3,FALSE),"-")</f>
        <v>-</v>
      </c>
      <c r="N497" s="1404" t="str">
        <f t="shared" si="7"/>
        <v>-</v>
      </c>
      <c r="P497" s="1405">
        <f>ROUND(IF(L497='S1&amp;2 Lists'!$CV$3,K497,IF(L497='S1&amp;2 Lists'!$CV$4,K497/'S1&amp;2 Lists'!$CQ$6,0)),3)</f>
        <v>0</v>
      </c>
      <c r="Q497" s="10" t="s">
        <v>12</v>
      </c>
    </row>
    <row r="498" spans="1:17" s="651" customFormat="1">
      <c r="A498" s="455"/>
      <c r="B498" s="455"/>
      <c r="C498" s="652"/>
      <c r="D498" s="455"/>
      <c r="E498" s="653"/>
      <c r="F498" s="455"/>
      <c r="G498" s="647"/>
      <c r="H498" s="455"/>
      <c r="I498" s="653"/>
      <c r="J498" s="455"/>
      <c r="K498" s="455"/>
      <c r="L498" s="455"/>
      <c r="M498" s="1404" t="str">
        <f>+IFERROR(VLOOKUP(G498,'S1&amp;2 Lists'!$C$4:$G$200,3,FALSE),"-")</f>
        <v>-</v>
      </c>
      <c r="N498" s="1404" t="str">
        <f t="shared" si="7"/>
        <v>-</v>
      </c>
      <c r="P498" s="1405">
        <f>ROUND(IF(L498='S1&amp;2 Lists'!$CV$3,K498,IF(L498='S1&amp;2 Lists'!$CV$4,K498/'S1&amp;2 Lists'!$CQ$6,0)),3)</f>
        <v>0</v>
      </c>
      <c r="Q498" s="10" t="s">
        <v>12</v>
      </c>
    </row>
    <row r="499" spans="1:17" s="651" customFormat="1">
      <c r="A499" s="455"/>
      <c r="B499" s="455"/>
      <c r="C499" s="652"/>
      <c r="D499" s="455"/>
      <c r="E499" s="653"/>
      <c r="F499" s="455"/>
      <c r="G499" s="647"/>
      <c r="H499" s="455"/>
      <c r="I499" s="653"/>
      <c r="J499" s="455"/>
      <c r="K499" s="455"/>
      <c r="L499" s="455"/>
      <c r="M499" s="1404" t="str">
        <f>+IFERROR(VLOOKUP(G499,'S1&amp;2 Lists'!$C$4:$G$200,3,FALSE),"-")</f>
        <v>-</v>
      </c>
      <c r="N499" s="1404" t="str">
        <f t="shared" si="7"/>
        <v>-</v>
      </c>
      <c r="P499" s="1405">
        <f>ROUND(IF(L499='S1&amp;2 Lists'!$CV$3,K499,IF(L499='S1&amp;2 Lists'!$CV$4,K499/'S1&amp;2 Lists'!$CQ$6,0)),3)</f>
        <v>0</v>
      </c>
      <c r="Q499" s="10" t="s">
        <v>12</v>
      </c>
    </row>
    <row r="500" spans="1:17" s="651" customFormat="1">
      <c r="A500" s="455"/>
      <c r="B500" s="455"/>
      <c r="C500" s="652"/>
      <c r="D500" s="455"/>
      <c r="E500" s="653"/>
      <c r="F500" s="455"/>
      <c r="G500" s="647"/>
      <c r="H500" s="455"/>
      <c r="I500" s="653"/>
      <c r="J500" s="455"/>
      <c r="K500" s="455"/>
      <c r="L500" s="455"/>
      <c r="M500" s="1404" t="str">
        <f>+IFERROR(VLOOKUP(G500,'S1&amp;2 Lists'!$C$4:$G$200,3,FALSE),"-")</f>
        <v>-</v>
      </c>
      <c r="N500" s="1404" t="str">
        <f t="shared" si="7"/>
        <v>-</v>
      </c>
      <c r="P500" s="1405">
        <f>ROUND(IF(L500='S1&amp;2 Lists'!$CV$3,K500,IF(L500='S1&amp;2 Lists'!$CV$4,K500/'S1&amp;2 Lists'!$CQ$6,0)),3)</f>
        <v>0</v>
      </c>
      <c r="Q500" s="10" t="s">
        <v>12</v>
      </c>
    </row>
    <row r="501" spans="1:17" s="651" customFormat="1">
      <c r="A501" s="455"/>
      <c r="B501" s="455"/>
      <c r="C501" s="652"/>
      <c r="D501" s="455"/>
      <c r="E501" s="653"/>
      <c r="F501" s="455"/>
      <c r="G501" s="647"/>
      <c r="H501" s="455"/>
      <c r="I501" s="653"/>
      <c r="J501" s="455"/>
      <c r="K501" s="455"/>
      <c r="L501" s="455"/>
      <c r="M501" s="1404" t="str">
        <f>+IFERROR(VLOOKUP(G501,'S1&amp;2 Lists'!$C$4:$G$200,3,FALSE),"-")</f>
        <v>-</v>
      </c>
      <c r="N501" s="1404" t="str">
        <f t="shared" si="7"/>
        <v>-</v>
      </c>
      <c r="P501" s="1405">
        <f>ROUND(IF(L501='S1&amp;2 Lists'!$CV$3,K501,IF(L501='S1&amp;2 Lists'!$CV$4,K501/'S1&amp;2 Lists'!$CQ$6,0)),3)</f>
        <v>0</v>
      </c>
      <c r="Q501" s="10" t="s">
        <v>12</v>
      </c>
    </row>
    <row r="502" spans="1:17" s="651" customFormat="1">
      <c r="A502" s="455"/>
      <c r="B502" s="455"/>
      <c r="C502" s="652"/>
      <c r="D502" s="455"/>
      <c r="E502" s="653"/>
      <c r="F502" s="455"/>
      <c r="G502" s="647"/>
      <c r="H502" s="455"/>
      <c r="I502" s="653"/>
      <c r="J502" s="455"/>
      <c r="K502" s="455"/>
      <c r="L502" s="455"/>
      <c r="M502" s="1404" t="str">
        <f>+IFERROR(VLOOKUP(G502,'S1&amp;2 Lists'!$C$4:$G$200,3,FALSE),"-")</f>
        <v>-</v>
      </c>
      <c r="N502" s="1404" t="str">
        <f t="shared" si="7"/>
        <v>-</v>
      </c>
      <c r="P502" s="1405">
        <f>ROUND(IF(L502='S1&amp;2 Lists'!$CV$3,K502,IF(L502='S1&amp;2 Lists'!$CV$4,K502/'S1&amp;2 Lists'!$CQ$6,0)),3)</f>
        <v>0</v>
      </c>
      <c r="Q502" s="10" t="s">
        <v>12</v>
      </c>
    </row>
    <row r="503" spans="1:17" s="651" customFormat="1">
      <c r="A503" s="455"/>
      <c r="B503" s="455"/>
      <c r="C503" s="652"/>
      <c r="D503" s="455"/>
      <c r="E503" s="653"/>
      <c r="F503" s="455"/>
      <c r="G503" s="647"/>
      <c r="H503" s="455"/>
      <c r="I503" s="653"/>
      <c r="J503" s="455"/>
      <c r="K503" s="455"/>
      <c r="L503" s="455"/>
      <c r="M503" s="1404" t="str">
        <f>+IFERROR(VLOOKUP(G503,'S1&amp;2 Lists'!$C$4:$G$200,3,FALSE),"-")</f>
        <v>-</v>
      </c>
      <c r="N503" s="1404" t="str">
        <f t="shared" si="7"/>
        <v>-</v>
      </c>
      <c r="P503" s="1405">
        <f>ROUND(IF(L503='S1&amp;2 Lists'!$CV$3,K503,IF(L503='S1&amp;2 Lists'!$CV$4,K503/'S1&amp;2 Lists'!$CQ$6,0)),3)</f>
        <v>0</v>
      </c>
      <c r="Q503" s="10" t="s">
        <v>12</v>
      </c>
    </row>
    <row r="504" spans="1:17" s="651" customFormat="1">
      <c r="A504" s="455"/>
      <c r="B504" s="455"/>
      <c r="C504" s="652"/>
      <c r="D504" s="455"/>
      <c r="E504" s="653"/>
      <c r="F504" s="455"/>
      <c r="G504" s="647"/>
      <c r="H504" s="455"/>
      <c r="I504" s="653"/>
      <c r="J504" s="455"/>
      <c r="K504" s="455"/>
      <c r="L504" s="455"/>
      <c r="M504" s="1404" t="str">
        <f>+IFERROR(VLOOKUP(G504,'S1&amp;2 Lists'!$C$4:$G$200,3,FALSE),"-")</f>
        <v>-</v>
      </c>
      <c r="N504" s="1404" t="str">
        <f t="shared" si="7"/>
        <v>-</v>
      </c>
      <c r="P504" s="1405">
        <f>ROUND(IF(L504='S1&amp;2 Lists'!$CV$3,K504,IF(L504='S1&amp;2 Lists'!$CV$4,K504/'S1&amp;2 Lists'!$CQ$6,0)),3)</f>
        <v>0</v>
      </c>
      <c r="Q504" s="10" t="s">
        <v>12</v>
      </c>
    </row>
    <row r="505" spans="1:17" s="651" customFormat="1">
      <c r="A505" s="455"/>
      <c r="B505" s="455"/>
      <c r="C505" s="652"/>
      <c r="D505" s="455"/>
      <c r="E505" s="653"/>
      <c r="F505" s="455"/>
      <c r="G505" s="647"/>
      <c r="H505" s="455"/>
      <c r="I505" s="653"/>
      <c r="J505" s="455"/>
      <c r="K505" s="455"/>
      <c r="L505" s="455"/>
      <c r="M505" s="1404" t="str">
        <f>+IFERROR(VLOOKUP(G505,'S1&amp;2 Lists'!$C$4:$G$200,3,FALSE),"-")</f>
        <v>-</v>
      </c>
      <c r="N505" s="1404" t="str">
        <f t="shared" si="7"/>
        <v>-</v>
      </c>
      <c r="P505" s="1405">
        <f>ROUND(IF(L505='S1&amp;2 Lists'!$CV$3,K505,IF(L505='S1&amp;2 Lists'!$CV$4,K505/'S1&amp;2 Lists'!$CQ$6,0)),3)</f>
        <v>0</v>
      </c>
      <c r="Q505" s="10" t="s">
        <v>12</v>
      </c>
    </row>
    <row r="506" spans="1:17" s="651" customFormat="1">
      <c r="A506" s="455"/>
      <c r="B506" s="455"/>
      <c r="C506" s="652"/>
      <c r="D506" s="455"/>
      <c r="E506" s="653"/>
      <c r="F506" s="455"/>
      <c r="G506" s="647"/>
      <c r="H506" s="455"/>
      <c r="I506" s="653"/>
      <c r="J506" s="455"/>
      <c r="K506" s="455"/>
      <c r="L506" s="455"/>
      <c r="M506" s="1404" t="str">
        <f>+IFERROR(VLOOKUP(G506,'S1&amp;2 Lists'!$C$4:$G$200,3,FALSE),"-")</f>
        <v>-</v>
      </c>
      <c r="N506" s="1404" t="str">
        <f t="shared" si="7"/>
        <v>-</v>
      </c>
      <c r="P506" s="1405">
        <f>ROUND(IF(L506='S1&amp;2 Lists'!$CV$3,K506,IF(L506='S1&amp;2 Lists'!$CV$4,K506/'S1&amp;2 Lists'!$CQ$6,0)),3)</f>
        <v>0</v>
      </c>
      <c r="Q506" s="10" t="s">
        <v>12</v>
      </c>
    </row>
    <row r="507" spans="1:17" s="651" customFormat="1">
      <c r="A507" s="455"/>
      <c r="B507" s="455"/>
      <c r="C507" s="652"/>
      <c r="D507" s="455"/>
      <c r="E507" s="653"/>
      <c r="F507" s="455"/>
      <c r="G507" s="647"/>
      <c r="H507" s="455"/>
      <c r="I507" s="653"/>
      <c r="J507" s="455"/>
      <c r="K507" s="455"/>
      <c r="L507" s="455"/>
      <c r="M507" s="1404" t="str">
        <f>+IFERROR(VLOOKUP(G507,'S1&amp;2 Lists'!$C$4:$G$200,3,FALSE),"-")</f>
        <v>-</v>
      </c>
      <c r="N507" s="1404" t="str">
        <f t="shared" si="7"/>
        <v>-</v>
      </c>
      <c r="P507" s="1405">
        <f>ROUND(IF(L507='S1&amp;2 Lists'!$CV$3,K507,IF(L507='S1&amp;2 Lists'!$CV$4,K507/'S1&amp;2 Lists'!$CQ$6,0)),3)</f>
        <v>0</v>
      </c>
      <c r="Q507" s="10" t="s">
        <v>12</v>
      </c>
    </row>
    <row r="508" spans="1:17" s="651" customFormat="1">
      <c r="A508" s="455"/>
      <c r="B508" s="455"/>
      <c r="C508" s="652"/>
      <c r="D508" s="455"/>
      <c r="E508" s="653"/>
      <c r="F508" s="455"/>
      <c r="G508" s="647"/>
      <c r="H508" s="455"/>
      <c r="I508" s="653"/>
      <c r="J508" s="455"/>
      <c r="K508" s="455"/>
      <c r="L508" s="455"/>
      <c r="M508" s="1404" t="str">
        <f>+IFERROR(VLOOKUP(G508,'S1&amp;2 Lists'!$C$4:$G$200,3,FALSE),"-")</f>
        <v>-</v>
      </c>
      <c r="N508" s="1404" t="str">
        <f t="shared" si="7"/>
        <v>-</v>
      </c>
      <c r="P508" s="1405">
        <f>ROUND(IF(L508='S1&amp;2 Lists'!$CV$3,K508,IF(L508='S1&amp;2 Lists'!$CV$4,K508/'S1&amp;2 Lists'!$CQ$6,0)),3)</f>
        <v>0</v>
      </c>
      <c r="Q508" s="10" t="s">
        <v>12</v>
      </c>
    </row>
    <row r="509" spans="1:17" s="651" customFormat="1">
      <c r="A509" s="455"/>
      <c r="B509" s="455"/>
      <c r="C509" s="652"/>
      <c r="D509" s="455"/>
      <c r="E509" s="653"/>
      <c r="F509" s="455"/>
      <c r="G509" s="647"/>
      <c r="H509" s="455"/>
      <c r="I509" s="653"/>
      <c r="J509" s="455"/>
      <c r="K509" s="455"/>
      <c r="L509" s="455"/>
      <c r="M509" s="1404" t="str">
        <f>+IFERROR(VLOOKUP(G509,'S1&amp;2 Lists'!$C$4:$G$200,3,FALSE),"-")</f>
        <v>-</v>
      </c>
      <c r="N509" s="1404" t="str">
        <f t="shared" si="7"/>
        <v>-</v>
      </c>
      <c r="P509" s="1405">
        <f>ROUND(IF(L509='S1&amp;2 Lists'!$CV$3,K509,IF(L509='S1&amp;2 Lists'!$CV$4,K509/'S1&amp;2 Lists'!$CQ$6,0)),3)</f>
        <v>0</v>
      </c>
      <c r="Q509" s="10" t="s">
        <v>12</v>
      </c>
    </row>
    <row r="510" spans="1:17" s="651" customFormat="1">
      <c r="A510" s="455"/>
      <c r="B510" s="455"/>
      <c r="C510" s="652"/>
      <c r="D510" s="455"/>
      <c r="E510" s="653"/>
      <c r="F510" s="455"/>
      <c r="G510" s="647"/>
      <c r="H510" s="455"/>
      <c r="I510" s="653"/>
      <c r="J510" s="455"/>
      <c r="K510" s="455"/>
      <c r="L510" s="455"/>
      <c r="M510" s="1404" t="str">
        <f>+IFERROR(VLOOKUP(G510,'S1&amp;2 Lists'!$C$4:$G$200,3,FALSE),"-")</f>
        <v>-</v>
      </c>
      <c r="N510" s="1404" t="str">
        <f t="shared" si="7"/>
        <v>-</v>
      </c>
      <c r="P510" s="1405">
        <f>ROUND(IF(L510='S1&amp;2 Lists'!$CV$3,K510,IF(L510='S1&amp;2 Lists'!$CV$4,K510/'S1&amp;2 Lists'!$CQ$6,0)),3)</f>
        <v>0</v>
      </c>
      <c r="Q510" s="10" t="s">
        <v>12</v>
      </c>
    </row>
    <row r="511" spans="1:17" s="651" customFormat="1">
      <c r="A511" s="455"/>
      <c r="B511" s="455"/>
      <c r="C511" s="652"/>
      <c r="D511" s="455"/>
      <c r="E511" s="653"/>
      <c r="F511" s="455"/>
      <c r="G511" s="647"/>
      <c r="H511" s="455"/>
      <c r="I511" s="653"/>
      <c r="J511" s="455"/>
      <c r="K511" s="455"/>
      <c r="L511" s="455"/>
      <c r="M511" s="1404" t="str">
        <f>+IFERROR(VLOOKUP(G511,'S1&amp;2 Lists'!$C$4:$G$200,3,FALSE),"-")</f>
        <v>-</v>
      </c>
      <c r="N511" s="1404" t="str">
        <f t="shared" si="7"/>
        <v>-</v>
      </c>
      <c r="P511" s="1405">
        <f>ROUND(IF(L511='S1&amp;2 Lists'!$CV$3,K511,IF(L511='S1&amp;2 Lists'!$CV$4,K511/'S1&amp;2 Lists'!$CQ$6,0)),3)</f>
        <v>0</v>
      </c>
      <c r="Q511" s="10" t="s">
        <v>12</v>
      </c>
    </row>
    <row r="512" spans="1:17" s="651" customFormat="1">
      <c r="A512" s="455"/>
      <c r="B512" s="455"/>
      <c r="C512" s="652"/>
      <c r="D512" s="455"/>
      <c r="E512" s="653"/>
      <c r="F512" s="455"/>
      <c r="G512" s="647"/>
      <c r="H512" s="455"/>
      <c r="I512" s="653"/>
      <c r="J512" s="455"/>
      <c r="K512" s="455"/>
      <c r="L512" s="455"/>
      <c r="M512" s="1404" t="str">
        <f>+IFERROR(VLOOKUP(G512,'S1&amp;2 Lists'!$C$4:$G$200,3,FALSE),"-")</f>
        <v>-</v>
      </c>
      <c r="N512" s="1404" t="str">
        <f t="shared" si="7"/>
        <v>-</v>
      </c>
      <c r="P512" s="1405">
        <f>ROUND(IF(L512='S1&amp;2 Lists'!$CV$3,K512,IF(L512='S1&amp;2 Lists'!$CV$4,K512/'S1&amp;2 Lists'!$CQ$6,0)),3)</f>
        <v>0</v>
      </c>
      <c r="Q512" s="10" t="s">
        <v>12</v>
      </c>
    </row>
    <row r="513" spans="1:17" s="651" customFormat="1">
      <c r="A513" s="455"/>
      <c r="B513" s="455"/>
      <c r="C513" s="652"/>
      <c r="D513" s="455"/>
      <c r="E513" s="653"/>
      <c r="F513" s="455"/>
      <c r="G513" s="647"/>
      <c r="H513" s="455"/>
      <c r="I513" s="653"/>
      <c r="J513" s="455"/>
      <c r="K513" s="455"/>
      <c r="L513" s="455"/>
      <c r="M513" s="1404" t="str">
        <f>+IFERROR(VLOOKUP(G513,'S1&amp;2 Lists'!$C$4:$G$200,3,FALSE),"-")</f>
        <v>-</v>
      </c>
      <c r="N513" s="1404" t="str">
        <f t="shared" si="7"/>
        <v>-</v>
      </c>
      <c r="P513" s="1405">
        <f>ROUND(IF(L513='S1&amp;2 Lists'!$CV$3,K513,IF(L513='S1&amp;2 Lists'!$CV$4,K513/'S1&amp;2 Lists'!$CQ$6,0)),3)</f>
        <v>0</v>
      </c>
      <c r="Q513" s="10" t="s">
        <v>12</v>
      </c>
    </row>
    <row r="514" spans="1:17" s="651" customFormat="1">
      <c r="A514" s="455"/>
      <c r="B514" s="455"/>
      <c r="C514" s="652"/>
      <c r="D514" s="455"/>
      <c r="E514" s="653"/>
      <c r="F514" s="455"/>
      <c r="G514" s="647"/>
      <c r="H514" s="455"/>
      <c r="I514" s="653"/>
      <c r="J514" s="455"/>
      <c r="K514" s="455"/>
      <c r="L514" s="455"/>
      <c r="M514" s="1404" t="str">
        <f>+IFERROR(VLOOKUP(G514,'S1&amp;2 Lists'!$C$4:$G$200,3,FALSE),"-")</f>
        <v>-</v>
      </c>
      <c r="N514" s="1404" t="str">
        <f t="shared" si="7"/>
        <v>-</v>
      </c>
      <c r="P514" s="1405">
        <f>ROUND(IF(L514='S1&amp;2 Lists'!$CV$3,K514,IF(L514='S1&amp;2 Lists'!$CV$4,K514/'S1&amp;2 Lists'!$CQ$6,0)),3)</f>
        <v>0</v>
      </c>
      <c r="Q514" s="10" t="s">
        <v>12</v>
      </c>
    </row>
    <row r="515" spans="1:17" s="651" customFormat="1">
      <c r="A515" s="455"/>
      <c r="B515" s="455"/>
      <c r="C515" s="652"/>
      <c r="D515" s="455"/>
      <c r="E515" s="653"/>
      <c r="F515" s="455"/>
      <c r="G515" s="647"/>
      <c r="H515" s="455"/>
      <c r="I515" s="653"/>
      <c r="J515" s="455"/>
      <c r="K515" s="455"/>
      <c r="L515" s="455"/>
      <c r="M515" s="1404" t="str">
        <f>+IFERROR(VLOOKUP(G515,'S1&amp;2 Lists'!$C$4:$G$200,3,FALSE),"-")</f>
        <v>-</v>
      </c>
      <c r="N515" s="1404" t="str">
        <f t="shared" si="7"/>
        <v>-</v>
      </c>
      <c r="P515" s="1405">
        <f>ROUND(IF(L515='S1&amp;2 Lists'!$CV$3,K515,IF(L515='S1&amp;2 Lists'!$CV$4,K515/'S1&amp;2 Lists'!$CQ$6,0)),3)</f>
        <v>0</v>
      </c>
      <c r="Q515" s="10" t="s">
        <v>12</v>
      </c>
    </row>
    <row r="516" spans="1:17" s="651" customFormat="1">
      <c r="A516" s="455"/>
      <c r="B516" s="455"/>
      <c r="C516" s="652"/>
      <c r="D516" s="455"/>
      <c r="E516" s="653"/>
      <c r="F516" s="455"/>
      <c r="G516" s="647"/>
      <c r="H516" s="455"/>
      <c r="I516" s="653"/>
      <c r="J516" s="455"/>
      <c r="K516" s="455"/>
      <c r="L516" s="455"/>
      <c r="M516" s="1404" t="str">
        <f>+IFERROR(VLOOKUP(G516,'S1&amp;2 Lists'!$C$4:$G$200,3,FALSE),"-")</f>
        <v>-</v>
      </c>
      <c r="N516" s="1404" t="str">
        <f t="shared" si="7"/>
        <v>-</v>
      </c>
      <c r="P516" s="1405">
        <f>ROUND(IF(L516='S1&amp;2 Lists'!$CV$3,K516,IF(L516='S1&amp;2 Lists'!$CV$4,K516/'S1&amp;2 Lists'!$CQ$6,0)),3)</f>
        <v>0</v>
      </c>
      <c r="Q516" s="10" t="s">
        <v>12</v>
      </c>
    </row>
    <row r="517" spans="1:17" s="651" customFormat="1">
      <c r="A517" s="455"/>
      <c r="B517" s="455"/>
      <c r="C517" s="652"/>
      <c r="D517" s="455"/>
      <c r="E517" s="653"/>
      <c r="F517" s="455"/>
      <c r="G517" s="647"/>
      <c r="H517" s="455"/>
      <c r="I517" s="653"/>
      <c r="J517" s="455"/>
      <c r="K517" s="455"/>
      <c r="L517" s="455"/>
      <c r="M517" s="1404" t="str">
        <f>+IFERROR(VLOOKUP(G517,'S1&amp;2 Lists'!$C$4:$G$200,3,FALSE),"-")</f>
        <v>-</v>
      </c>
      <c r="N517" s="1404" t="str">
        <f t="shared" si="7"/>
        <v>-</v>
      </c>
      <c r="P517" s="1405">
        <f>ROUND(IF(L517='S1&amp;2 Lists'!$CV$3,K517,IF(L517='S1&amp;2 Lists'!$CV$4,K517/'S1&amp;2 Lists'!$CQ$6,0)),3)</f>
        <v>0</v>
      </c>
      <c r="Q517" s="10" t="s">
        <v>12</v>
      </c>
    </row>
    <row r="518" spans="1:17" s="651" customFormat="1">
      <c r="A518" s="455"/>
      <c r="B518" s="455"/>
      <c r="C518" s="652"/>
      <c r="D518" s="455"/>
      <c r="E518" s="653"/>
      <c r="F518" s="455"/>
      <c r="G518" s="647"/>
      <c r="H518" s="455"/>
      <c r="I518" s="653"/>
      <c r="J518" s="455"/>
      <c r="K518" s="455"/>
      <c r="L518" s="455"/>
      <c r="M518" s="1404" t="str">
        <f>+IFERROR(VLOOKUP(G518,'S1&amp;2 Lists'!$C$4:$G$200,3,FALSE),"-")</f>
        <v>-</v>
      </c>
      <c r="N518" s="1404" t="str">
        <f t="shared" si="7"/>
        <v>-</v>
      </c>
      <c r="P518" s="1405">
        <f>ROUND(IF(L518='S1&amp;2 Lists'!$CV$3,K518,IF(L518='S1&amp;2 Lists'!$CV$4,K518/'S1&amp;2 Lists'!$CQ$6,0)),3)</f>
        <v>0</v>
      </c>
      <c r="Q518" s="10" t="s">
        <v>12</v>
      </c>
    </row>
    <row r="519" spans="1:17" s="651" customFormat="1">
      <c r="A519" s="455"/>
      <c r="B519" s="455"/>
      <c r="C519" s="652"/>
      <c r="D519" s="455"/>
      <c r="E519" s="653"/>
      <c r="F519" s="455"/>
      <c r="G519" s="647"/>
      <c r="H519" s="455"/>
      <c r="I519" s="653"/>
      <c r="J519" s="455"/>
      <c r="K519" s="455"/>
      <c r="L519" s="455"/>
      <c r="M519" s="1404" t="str">
        <f>+IFERROR(VLOOKUP(G519,'S1&amp;2 Lists'!$C$4:$G$200,3,FALSE),"-")</f>
        <v>-</v>
      </c>
      <c r="N519" s="1404" t="str">
        <f t="shared" si="7"/>
        <v>-</v>
      </c>
      <c r="P519" s="1405">
        <f>ROUND(IF(L519='S1&amp;2 Lists'!$CV$3,K519,IF(L519='S1&amp;2 Lists'!$CV$4,K519/'S1&amp;2 Lists'!$CQ$6,0)),3)</f>
        <v>0</v>
      </c>
      <c r="Q519" s="10" t="s">
        <v>12</v>
      </c>
    </row>
    <row r="520" spans="1:17" s="651" customFormat="1">
      <c r="A520" s="455"/>
      <c r="B520" s="455"/>
      <c r="C520" s="652"/>
      <c r="D520" s="455"/>
      <c r="E520" s="653"/>
      <c r="F520" s="455"/>
      <c r="G520" s="647"/>
      <c r="H520" s="455"/>
      <c r="I520" s="653"/>
      <c r="J520" s="455"/>
      <c r="K520" s="455"/>
      <c r="L520" s="455"/>
      <c r="M520" s="1404" t="str">
        <f>+IFERROR(VLOOKUP(G520,'S1&amp;2 Lists'!$C$4:$G$200,3,FALSE),"-")</f>
        <v>-</v>
      </c>
      <c r="N520" s="1404" t="str">
        <f t="shared" si="7"/>
        <v>-</v>
      </c>
      <c r="P520" s="1405">
        <f>ROUND(IF(L520='S1&amp;2 Lists'!$CV$3,K520,IF(L520='S1&amp;2 Lists'!$CV$4,K520/'S1&amp;2 Lists'!$CQ$6,0)),3)</f>
        <v>0</v>
      </c>
      <c r="Q520" s="10" t="s">
        <v>12</v>
      </c>
    </row>
    <row r="521" spans="1:17" s="651" customFormat="1">
      <c r="A521" s="455"/>
      <c r="B521" s="455"/>
      <c r="C521" s="652"/>
      <c r="D521" s="455"/>
      <c r="E521" s="653"/>
      <c r="F521" s="455"/>
      <c r="G521" s="647"/>
      <c r="H521" s="455"/>
      <c r="I521" s="653"/>
      <c r="J521" s="455"/>
      <c r="K521" s="455"/>
      <c r="L521" s="455"/>
      <c r="M521" s="1404" t="str">
        <f>+IFERROR(VLOOKUP(G521,'S1&amp;2 Lists'!$C$4:$G$200,3,FALSE),"-")</f>
        <v>-</v>
      </c>
      <c r="N521" s="1404" t="str">
        <f t="shared" si="7"/>
        <v>-</v>
      </c>
      <c r="P521" s="1405">
        <f>ROUND(IF(L521='S1&amp;2 Lists'!$CV$3,K521,IF(L521='S1&amp;2 Lists'!$CV$4,K521/'S1&amp;2 Lists'!$CQ$6,0)),3)</f>
        <v>0</v>
      </c>
      <c r="Q521" s="10" t="s">
        <v>12</v>
      </c>
    </row>
    <row r="522" spans="1:17" s="651" customFormat="1">
      <c r="A522" s="455"/>
      <c r="B522" s="455"/>
      <c r="C522" s="652"/>
      <c r="D522" s="455"/>
      <c r="E522" s="653"/>
      <c r="F522" s="455"/>
      <c r="G522" s="647"/>
      <c r="H522" s="455"/>
      <c r="I522" s="653"/>
      <c r="J522" s="455"/>
      <c r="K522" s="455"/>
      <c r="L522" s="455"/>
      <c r="M522" s="1404" t="str">
        <f>+IFERROR(VLOOKUP(G522,'S1&amp;2 Lists'!$C$4:$G$200,3,FALSE),"-")</f>
        <v>-</v>
      </c>
      <c r="N522" s="1404" t="str">
        <f t="shared" si="7"/>
        <v>-</v>
      </c>
      <c r="P522" s="1405">
        <f>ROUND(IF(L522='S1&amp;2 Lists'!$CV$3,K522,IF(L522='S1&amp;2 Lists'!$CV$4,K522/'S1&amp;2 Lists'!$CQ$6,0)),3)</f>
        <v>0</v>
      </c>
      <c r="Q522" s="10" t="s">
        <v>12</v>
      </c>
    </row>
    <row r="523" spans="1:17" s="651" customFormat="1">
      <c r="A523" s="455"/>
      <c r="B523" s="455"/>
      <c r="C523" s="652"/>
      <c r="D523" s="455"/>
      <c r="E523" s="653"/>
      <c r="F523" s="455"/>
      <c r="G523" s="647"/>
      <c r="H523" s="455"/>
      <c r="I523" s="653"/>
      <c r="J523" s="455"/>
      <c r="K523" s="455"/>
      <c r="L523" s="455"/>
      <c r="M523" s="1404" t="str">
        <f>+IFERROR(VLOOKUP(G523,'S1&amp;2 Lists'!$C$4:$G$200,3,FALSE),"-")</f>
        <v>-</v>
      </c>
      <c r="N523" s="1404" t="str">
        <f t="shared" ref="N523:N586" si="8">+IFERROR(P523*M523,"-")</f>
        <v>-</v>
      </c>
      <c r="P523" s="1405">
        <f>ROUND(IF(L523='S1&amp;2 Lists'!$CV$3,K523,IF(L523='S1&amp;2 Lists'!$CV$4,K523/'S1&amp;2 Lists'!$CQ$6,0)),3)</f>
        <v>0</v>
      </c>
      <c r="Q523" s="10" t="s">
        <v>12</v>
      </c>
    </row>
    <row r="524" spans="1:17" s="651" customFormat="1">
      <c r="A524" s="455"/>
      <c r="B524" s="455"/>
      <c r="C524" s="652"/>
      <c r="D524" s="455"/>
      <c r="E524" s="653"/>
      <c r="F524" s="455"/>
      <c r="G524" s="647"/>
      <c r="H524" s="455"/>
      <c r="I524" s="653"/>
      <c r="J524" s="455"/>
      <c r="K524" s="455"/>
      <c r="L524" s="455"/>
      <c r="M524" s="1404" t="str">
        <f>+IFERROR(VLOOKUP(G524,'S1&amp;2 Lists'!$C$4:$G$200,3,FALSE),"-")</f>
        <v>-</v>
      </c>
      <c r="N524" s="1404" t="str">
        <f t="shared" si="8"/>
        <v>-</v>
      </c>
      <c r="P524" s="1405">
        <f>ROUND(IF(L524='S1&amp;2 Lists'!$CV$3,K524,IF(L524='S1&amp;2 Lists'!$CV$4,K524/'S1&amp;2 Lists'!$CQ$6,0)),3)</f>
        <v>0</v>
      </c>
      <c r="Q524" s="10" t="s">
        <v>12</v>
      </c>
    </row>
    <row r="525" spans="1:17" s="651" customFormat="1">
      <c r="A525" s="455"/>
      <c r="B525" s="455"/>
      <c r="C525" s="652"/>
      <c r="D525" s="455"/>
      <c r="E525" s="653"/>
      <c r="F525" s="455"/>
      <c r="G525" s="647"/>
      <c r="H525" s="455"/>
      <c r="I525" s="653"/>
      <c r="J525" s="455"/>
      <c r="K525" s="455"/>
      <c r="L525" s="455"/>
      <c r="M525" s="1404" t="str">
        <f>+IFERROR(VLOOKUP(G525,'S1&amp;2 Lists'!$C$4:$G$200,3,FALSE),"-")</f>
        <v>-</v>
      </c>
      <c r="N525" s="1404" t="str">
        <f t="shared" si="8"/>
        <v>-</v>
      </c>
      <c r="P525" s="1405">
        <f>ROUND(IF(L525='S1&amp;2 Lists'!$CV$3,K525,IF(L525='S1&amp;2 Lists'!$CV$4,K525/'S1&amp;2 Lists'!$CQ$6,0)),3)</f>
        <v>0</v>
      </c>
      <c r="Q525" s="10" t="s">
        <v>12</v>
      </c>
    </row>
    <row r="526" spans="1:17" s="651" customFormat="1">
      <c r="A526" s="455"/>
      <c r="B526" s="455"/>
      <c r="C526" s="652"/>
      <c r="D526" s="455"/>
      <c r="E526" s="653"/>
      <c r="F526" s="455"/>
      <c r="G526" s="647"/>
      <c r="H526" s="455"/>
      <c r="I526" s="653"/>
      <c r="J526" s="455"/>
      <c r="K526" s="455"/>
      <c r="L526" s="455"/>
      <c r="M526" s="1404" t="str">
        <f>+IFERROR(VLOOKUP(G526,'S1&amp;2 Lists'!$C$4:$G$200,3,FALSE),"-")</f>
        <v>-</v>
      </c>
      <c r="N526" s="1404" t="str">
        <f t="shared" si="8"/>
        <v>-</v>
      </c>
      <c r="P526" s="1405">
        <f>ROUND(IF(L526='S1&amp;2 Lists'!$CV$3,K526,IF(L526='S1&amp;2 Lists'!$CV$4,K526/'S1&amp;2 Lists'!$CQ$6,0)),3)</f>
        <v>0</v>
      </c>
      <c r="Q526" s="10" t="s">
        <v>12</v>
      </c>
    </row>
    <row r="527" spans="1:17" s="651" customFormat="1">
      <c r="A527" s="455"/>
      <c r="B527" s="455"/>
      <c r="C527" s="652"/>
      <c r="D527" s="455"/>
      <c r="E527" s="653"/>
      <c r="F527" s="455"/>
      <c r="G527" s="647"/>
      <c r="H527" s="455"/>
      <c r="I527" s="653"/>
      <c r="J527" s="455"/>
      <c r="K527" s="455"/>
      <c r="L527" s="455"/>
      <c r="M527" s="1404" t="str">
        <f>+IFERROR(VLOOKUP(G527,'S1&amp;2 Lists'!$C$4:$G$200,3,FALSE),"-")</f>
        <v>-</v>
      </c>
      <c r="N527" s="1404" t="str">
        <f t="shared" si="8"/>
        <v>-</v>
      </c>
      <c r="P527" s="1405">
        <f>ROUND(IF(L527='S1&amp;2 Lists'!$CV$3,K527,IF(L527='S1&amp;2 Lists'!$CV$4,K527/'S1&amp;2 Lists'!$CQ$6,0)),3)</f>
        <v>0</v>
      </c>
      <c r="Q527" s="10" t="s">
        <v>12</v>
      </c>
    </row>
    <row r="528" spans="1:17" s="651" customFormat="1">
      <c r="A528" s="455"/>
      <c r="B528" s="455"/>
      <c r="C528" s="652"/>
      <c r="D528" s="455"/>
      <c r="E528" s="653"/>
      <c r="F528" s="455"/>
      <c r="G528" s="647"/>
      <c r="H528" s="455"/>
      <c r="I528" s="653"/>
      <c r="J528" s="455"/>
      <c r="K528" s="455"/>
      <c r="L528" s="455"/>
      <c r="M528" s="1404" t="str">
        <f>+IFERROR(VLOOKUP(G528,'S1&amp;2 Lists'!$C$4:$G$200,3,FALSE),"-")</f>
        <v>-</v>
      </c>
      <c r="N528" s="1404" t="str">
        <f t="shared" si="8"/>
        <v>-</v>
      </c>
      <c r="P528" s="1405">
        <f>ROUND(IF(L528='S1&amp;2 Lists'!$CV$3,K528,IF(L528='S1&amp;2 Lists'!$CV$4,K528/'S1&amp;2 Lists'!$CQ$6,0)),3)</f>
        <v>0</v>
      </c>
      <c r="Q528" s="10" t="s">
        <v>12</v>
      </c>
    </row>
    <row r="529" spans="1:17" s="651" customFormat="1">
      <c r="A529" s="455"/>
      <c r="B529" s="455"/>
      <c r="C529" s="652"/>
      <c r="D529" s="455"/>
      <c r="E529" s="653"/>
      <c r="F529" s="455"/>
      <c r="G529" s="647"/>
      <c r="H529" s="455"/>
      <c r="I529" s="653"/>
      <c r="J529" s="455"/>
      <c r="K529" s="455"/>
      <c r="L529" s="455"/>
      <c r="M529" s="1404" t="str">
        <f>+IFERROR(VLOOKUP(G529,'S1&amp;2 Lists'!$C$4:$G$200,3,FALSE),"-")</f>
        <v>-</v>
      </c>
      <c r="N529" s="1404" t="str">
        <f t="shared" si="8"/>
        <v>-</v>
      </c>
      <c r="P529" s="1405">
        <f>ROUND(IF(L529='S1&amp;2 Lists'!$CV$3,K529,IF(L529='S1&amp;2 Lists'!$CV$4,K529/'S1&amp;2 Lists'!$CQ$6,0)),3)</f>
        <v>0</v>
      </c>
      <c r="Q529" s="10" t="s">
        <v>12</v>
      </c>
    </row>
    <row r="530" spans="1:17" s="651" customFormat="1">
      <c r="A530" s="455"/>
      <c r="B530" s="455"/>
      <c r="C530" s="652"/>
      <c r="D530" s="455"/>
      <c r="E530" s="653"/>
      <c r="F530" s="455"/>
      <c r="G530" s="647"/>
      <c r="H530" s="455"/>
      <c r="I530" s="653"/>
      <c r="J530" s="455"/>
      <c r="K530" s="455"/>
      <c r="L530" s="455"/>
      <c r="M530" s="1404" t="str">
        <f>+IFERROR(VLOOKUP(G530,'S1&amp;2 Lists'!$C$4:$G$200,3,FALSE),"-")</f>
        <v>-</v>
      </c>
      <c r="N530" s="1404" t="str">
        <f t="shared" si="8"/>
        <v>-</v>
      </c>
      <c r="P530" s="1405">
        <f>ROUND(IF(L530='S1&amp;2 Lists'!$CV$3,K530,IF(L530='S1&amp;2 Lists'!$CV$4,K530/'S1&amp;2 Lists'!$CQ$6,0)),3)</f>
        <v>0</v>
      </c>
      <c r="Q530" s="10" t="s">
        <v>12</v>
      </c>
    </row>
    <row r="531" spans="1:17" s="651" customFormat="1">
      <c r="A531" s="455"/>
      <c r="B531" s="455"/>
      <c r="C531" s="652"/>
      <c r="D531" s="455"/>
      <c r="E531" s="653"/>
      <c r="F531" s="455"/>
      <c r="G531" s="647"/>
      <c r="H531" s="455"/>
      <c r="I531" s="653"/>
      <c r="J531" s="455"/>
      <c r="K531" s="455"/>
      <c r="L531" s="455"/>
      <c r="M531" s="1404" t="str">
        <f>+IFERROR(VLOOKUP(G531,'S1&amp;2 Lists'!$C$4:$G$200,3,FALSE),"-")</f>
        <v>-</v>
      </c>
      <c r="N531" s="1404" t="str">
        <f t="shared" si="8"/>
        <v>-</v>
      </c>
      <c r="P531" s="1405">
        <f>ROUND(IF(L531='S1&amp;2 Lists'!$CV$3,K531,IF(L531='S1&amp;2 Lists'!$CV$4,K531/'S1&amp;2 Lists'!$CQ$6,0)),3)</f>
        <v>0</v>
      </c>
      <c r="Q531" s="10" t="s">
        <v>12</v>
      </c>
    </row>
    <row r="532" spans="1:17" s="651" customFormat="1">
      <c r="A532" s="455"/>
      <c r="B532" s="455"/>
      <c r="C532" s="652"/>
      <c r="D532" s="455"/>
      <c r="E532" s="653"/>
      <c r="F532" s="455"/>
      <c r="G532" s="647"/>
      <c r="H532" s="455"/>
      <c r="I532" s="653"/>
      <c r="J532" s="455"/>
      <c r="K532" s="455"/>
      <c r="L532" s="455"/>
      <c r="M532" s="1404" t="str">
        <f>+IFERROR(VLOOKUP(G532,'S1&amp;2 Lists'!$C$4:$G$200,3,FALSE),"-")</f>
        <v>-</v>
      </c>
      <c r="N532" s="1404" t="str">
        <f t="shared" si="8"/>
        <v>-</v>
      </c>
      <c r="P532" s="1405">
        <f>ROUND(IF(L532='S1&amp;2 Lists'!$CV$3,K532,IF(L532='S1&amp;2 Lists'!$CV$4,K532/'S1&amp;2 Lists'!$CQ$6,0)),3)</f>
        <v>0</v>
      </c>
      <c r="Q532" s="10" t="s">
        <v>12</v>
      </c>
    </row>
    <row r="533" spans="1:17" s="651" customFormat="1">
      <c r="A533" s="455"/>
      <c r="B533" s="455"/>
      <c r="C533" s="652"/>
      <c r="D533" s="455"/>
      <c r="E533" s="653"/>
      <c r="F533" s="455"/>
      <c r="G533" s="647"/>
      <c r="H533" s="455"/>
      <c r="I533" s="653"/>
      <c r="J533" s="455"/>
      <c r="K533" s="455"/>
      <c r="L533" s="455"/>
      <c r="M533" s="1404" t="str">
        <f>+IFERROR(VLOOKUP(G533,'S1&amp;2 Lists'!$C$4:$G$200,3,FALSE),"-")</f>
        <v>-</v>
      </c>
      <c r="N533" s="1404" t="str">
        <f t="shared" si="8"/>
        <v>-</v>
      </c>
      <c r="P533" s="1405">
        <f>ROUND(IF(L533='S1&amp;2 Lists'!$CV$3,K533,IF(L533='S1&amp;2 Lists'!$CV$4,K533/'S1&amp;2 Lists'!$CQ$6,0)),3)</f>
        <v>0</v>
      </c>
      <c r="Q533" s="10" t="s">
        <v>12</v>
      </c>
    </row>
    <row r="534" spans="1:17" s="651" customFormat="1">
      <c r="A534" s="455"/>
      <c r="B534" s="455"/>
      <c r="C534" s="652"/>
      <c r="D534" s="455"/>
      <c r="E534" s="653"/>
      <c r="F534" s="455"/>
      <c r="G534" s="647"/>
      <c r="H534" s="455"/>
      <c r="I534" s="653"/>
      <c r="J534" s="455"/>
      <c r="K534" s="455"/>
      <c r="L534" s="455"/>
      <c r="M534" s="1404" t="str">
        <f>+IFERROR(VLOOKUP(G534,'S1&amp;2 Lists'!$C$4:$G$200,3,FALSE),"-")</f>
        <v>-</v>
      </c>
      <c r="N534" s="1404" t="str">
        <f t="shared" si="8"/>
        <v>-</v>
      </c>
      <c r="P534" s="1405">
        <f>ROUND(IF(L534='S1&amp;2 Lists'!$CV$3,K534,IF(L534='S1&amp;2 Lists'!$CV$4,K534/'S1&amp;2 Lists'!$CQ$6,0)),3)</f>
        <v>0</v>
      </c>
      <c r="Q534" s="10" t="s">
        <v>12</v>
      </c>
    </row>
    <row r="535" spans="1:17" s="651" customFormat="1">
      <c r="A535" s="455"/>
      <c r="B535" s="455"/>
      <c r="C535" s="652"/>
      <c r="D535" s="455"/>
      <c r="E535" s="653"/>
      <c r="F535" s="455"/>
      <c r="G535" s="647"/>
      <c r="H535" s="455"/>
      <c r="I535" s="653"/>
      <c r="J535" s="455"/>
      <c r="K535" s="455"/>
      <c r="L535" s="455"/>
      <c r="M535" s="1404" t="str">
        <f>+IFERROR(VLOOKUP(G535,'S1&amp;2 Lists'!$C$4:$G$200,3,FALSE),"-")</f>
        <v>-</v>
      </c>
      <c r="N535" s="1404" t="str">
        <f t="shared" si="8"/>
        <v>-</v>
      </c>
      <c r="P535" s="1405">
        <f>ROUND(IF(L535='S1&amp;2 Lists'!$CV$3,K535,IF(L535='S1&amp;2 Lists'!$CV$4,K535/'S1&amp;2 Lists'!$CQ$6,0)),3)</f>
        <v>0</v>
      </c>
      <c r="Q535" s="10" t="s">
        <v>12</v>
      </c>
    </row>
    <row r="536" spans="1:17" s="651" customFormat="1">
      <c r="A536" s="455"/>
      <c r="B536" s="455"/>
      <c r="C536" s="652"/>
      <c r="D536" s="455"/>
      <c r="E536" s="653"/>
      <c r="F536" s="455"/>
      <c r="G536" s="647"/>
      <c r="H536" s="455"/>
      <c r="I536" s="653"/>
      <c r="J536" s="455"/>
      <c r="K536" s="455"/>
      <c r="L536" s="455"/>
      <c r="M536" s="1404" t="str">
        <f>+IFERROR(VLOOKUP(G536,'S1&amp;2 Lists'!$C$4:$G$200,3,FALSE),"-")</f>
        <v>-</v>
      </c>
      <c r="N536" s="1404" t="str">
        <f t="shared" si="8"/>
        <v>-</v>
      </c>
      <c r="P536" s="1405">
        <f>ROUND(IF(L536='S1&amp;2 Lists'!$CV$3,K536,IF(L536='S1&amp;2 Lists'!$CV$4,K536/'S1&amp;2 Lists'!$CQ$6,0)),3)</f>
        <v>0</v>
      </c>
      <c r="Q536" s="10" t="s">
        <v>12</v>
      </c>
    </row>
    <row r="537" spans="1:17" s="651" customFormat="1">
      <c r="A537" s="455"/>
      <c r="B537" s="455"/>
      <c r="C537" s="652"/>
      <c r="D537" s="455"/>
      <c r="E537" s="653"/>
      <c r="F537" s="455"/>
      <c r="G537" s="647"/>
      <c r="H537" s="455"/>
      <c r="I537" s="653"/>
      <c r="J537" s="455"/>
      <c r="K537" s="455"/>
      <c r="L537" s="455"/>
      <c r="M537" s="1404" t="str">
        <f>+IFERROR(VLOOKUP(G537,'S1&amp;2 Lists'!$C$4:$G$200,3,FALSE),"-")</f>
        <v>-</v>
      </c>
      <c r="N537" s="1404" t="str">
        <f t="shared" si="8"/>
        <v>-</v>
      </c>
      <c r="P537" s="1405">
        <f>ROUND(IF(L537='S1&amp;2 Lists'!$CV$3,K537,IF(L537='S1&amp;2 Lists'!$CV$4,K537/'S1&amp;2 Lists'!$CQ$6,0)),3)</f>
        <v>0</v>
      </c>
      <c r="Q537" s="10" t="s">
        <v>12</v>
      </c>
    </row>
    <row r="538" spans="1:17" s="651" customFormat="1">
      <c r="A538" s="455"/>
      <c r="B538" s="455"/>
      <c r="C538" s="652"/>
      <c r="D538" s="455"/>
      <c r="E538" s="653"/>
      <c r="F538" s="455"/>
      <c r="G538" s="647"/>
      <c r="H538" s="455"/>
      <c r="I538" s="653"/>
      <c r="J538" s="455"/>
      <c r="K538" s="455"/>
      <c r="L538" s="455"/>
      <c r="M538" s="1404" t="str">
        <f>+IFERROR(VLOOKUP(G538,'S1&amp;2 Lists'!$C$4:$G$200,3,FALSE),"-")</f>
        <v>-</v>
      </c>
      <c r="N538" s="1404" t="str">
        <f t="shared" si="8"/>
        <v>-</v>
      </c>
      <c r="P538" s="1405">
        <f>ROUND(IF(L538='S1&amp;2 Lists'!$CV$3,K538,IF(L538='S1&amp;2 Lists'!$CV$4,K538/'S1&amp;2 Lists'!$CQ$6,0)),3)</f>
        <v>0</v>
      </c>
      <c r="Q538" s="10" t="s">
        <v>12</v>
      </c>
    </row>
    <row r="539" spans="1:17" s="651" customFormat="1">
      <c r="A539" s="455"/>
      <c r="B539" s="455"/>
      <c r="C539" s="652"/>
      <c r="D539" s="455"/>
      <c r="E539" s="653"/>
      <c r="F539" s="455"/>
      <c r="G539" s="647"/>
      <c r="H539" s="455"/>
      <c r="I539" s="653"/>
      <c r="J539" s="455"/>
      <c r="K539" s="455"/>
      <c r="L539" s="455"/>
      <c r="M539" s="1404" t="str">
        <f>+IFERROR(VLOOKUP(G539,'S1&amp;2 Lists'!$C$4:$G$200,3,FALSE),"-")</f>
        <v>-</v>
      </c>
      <c r="N539" s="1404" t="str">
        <f t="shared" si="8"/>
        <v>-</v>
      </c>
      <c r="P539" s="1405">
        <f>ROUND(IF(L539='S1&amp;2 Lists'!$CV$3,K539,IF(L539='S1&amp;2 Lists'!$CV$4,K539/'S1&amp;2 Lists'!$CQ$6,0)),3)</f>
        <v>0</v>
      </c>
      <c r="Q539" s="10" t="s">
        <v>12</v>
      </c>
    </row>
    <row r="540" spans="1:17" s="651" customFormat="1">
      <c r="A540" s="455"/>
      <c r="B540" s="455"/>
      <c r="C540" s="652"/>
      <c r="D540" s="455"/>
      <c r="E540" s="653"/>
      <c r="F540" s="455"/>
      <c r="G540" s="647"/>
      <c r="H540" s="455"/>
      <c r="I540" s="653"/>
      <c r="J540" s="455"/>
      <c r="K540" s="455"/>
      <c r="L540" s="455"/>
      <c r="M540" s="1404" t="str">
        <f>+IFERROR(VLOOKUP(G540,'S1&amp;2 Lists'!$C$4:$G$200,3,FALSE),"-")</f>
        <v>-</v>
      </c>
      <c r="N540" s="1404" t="str">
        <f t="shared" si="8"/>
        <v>-</v>
      </c>
      <c r="P540" s="1405">
        <f>ROUND(IF(L540='S1&amp;2 Lists'!$CV$3,K540,IF(L540='S1&amp;2 Lists'!$CV$4,K540/'S1&amp;2 Lists'!$CQ$6,0)),3)</f>
        <v>0</v>
      </c>
      <c r="Q540" s="10" t="s">
        <v>12</v>
      </c>
    </row>
    <row r="541" spans="1:17" s="651" customFormat="1">
      <c r="A541" s="455"/>
      <c r="B541" s="455"/>
      <c r="C541" s="652"/>
      <c r="D541" s="455"/>
      <c r="E541" s="653"/>
      <c r="F541" s="455"/>
      <c r="G541" s="647"/>
      <c r="H541" s="455"/>
      <c r="I541" s="653"/>
      <c r="J541" s="455"/>
      <c r="K541" s="455"/>
      <c r="L541" s="455"/>
      <c r="M541" s="1404" t="str">
        <f>+IFERROR(VLOOKUP(G541,'S1&amp;2 Lists'!$C$4:$G$200,3,FALSE),"-")</f>
        <v>-</v>
      </c>
      <c r="N541" s="1404" t="str">
        <f t="shared" si="8"/>
        <v>-</v>
      </c>
      <c r="P541" s="1405">
        <f>ROUND(IF(L541='S1&amp;2 Lists'!$CV$3,K541,IF(L541='S1&amp;2 Lists'!$CV$4,K541/'S1&amp;2 Lists'!$CQ$6,0)),3)</f>
        <v>0</v>
      </c>
      <c r="Q541" s="10" t="s">
        <v>12</v>
      </c>
    </row>
    <row r="542" spans="1:17" s="651" customFormat="1">
      <c r="A542" s="455"/>
      <c r="B542" s="455"/>
      <c r="C542" s="652"/>
      <c r="D542" s="455"/>
      <c r="E542" s="653"/>
      <c r="F542" s="455"/>
      <c r="G542" s="647"/>
      <c r="H542" s="455"/>
      <c r="I542" s="653"/>
      <c r="J542" s="455"/>
      <c r="K542" s="455"/>
      <c r="L542" s="455"/>
      <c r="M542" s="1404" t="str">
        <f>+IFERROR(VLOOKUP(G542,'S1&amp;2 Lists'!$C$4:$G$200,3,FALSE),"-")</f>
        <v>-</v>
      </c>
      <c r="N542" s="1404" t="str">
        <f t="shared" si="8"/>
        <v>-</v>
      </c>
      <c r="P542" s="1405">
        <f>ROUND(IF(L542='S1&amp;2 Lists'!$CV$3,K542,IF(L542='S1&amp;2 Lists'!$CV$4,K542/'S1&amp;2 Lists'!$CQ$6,0)),3)</f>
        <v>0</v>
      </c>
      <c r="Q542" s="10" t="s">
        <v>12</v>
      </c>
    </row>
    <row r="543" spans="1:17" s="651" customFormat="1">
      <c r="A543" s="455"/>
      <c r="B543" s="455"/>
      <c r="C543" s="652"/>
      <c r="D543" s="455"/>
      <c r="E543" s="653"/>
      <c r="F543" s="455"/>
      <c r="G543" s="647"/>
      <c r="H543" s="455"/>
      <c r="I543" s="653"/>
      <c r="J543" s="455"/>
      <c r="K543" s="455"/>
      <c r="L543" s="455"/>
      <c r="M543" s="1404" t="str">
        <f>+IFERROR(VLOOKUP(G543,'S1&amp;2 Lists'!$C$4:$G$200,3,FALSE),"-")</f>
        <v>-</v>
      </c>
      <c r="N543" s="1404" t="str">
        <f t="shared" si="8"/>
        <v>-</v>
      </c>
      <c r="P543" s="1405">
        <f>ROUND(IF(L543='S1&amp;2 Lists'!$CV$3,K543,IF(L543='S1&amp;2 Lists'!$CV$4,K543/'S1&amp;2 Lists'!$CQ$6,0)),3)</f>
        <v>0</v>
      </c>
      <c r="Q543" s="10" t="s">
        <v>12</v>
      </c>
    </row>
    <row r="544" spans="1:17" s="651" customFormat="1">
      <c r="A544" s="455"/>
      <c r="B544" s="455"/>
      <c r="C544" s="652"/>
      <c r="D544" s="455"/>
      <c r="E544" s="653"/>
      <c r="F544" s="455"/>
      <c r="G544" s="647"/>
      <c r="H544" s="455"/>
      <c r="I544" s="653"/>
      <c r="J544" s="455"/>
      <c r="K544" s="455"/>
      <c r="L544" s="455"/>
      <c r="M544" s="1404" t="str">
        <f>+IFERROR(VLOOKUP(G544,'S1&amp;2 Lists'!$C$4:$G$200,3,FALSE),"-")</f>
        <v>-</v>
      </c>
      <c r="N544" s="1404" t="str">
        <f t="shared" si="8"/>
        <v>-</v>
      </c>
      <c r="P544" s="1405">
        <f>ROUND(IF(L544='S1&amp;2 Lists'!$CV$3,K544,IF(L544='S1&amp;2 Lists'!$CV$4,K544/'S1&amp;2 Lists'!$CQ$6,0)),3)</f>
        <v>0</v>
      </c>
      <c r="Q544" s="10" t="s">
        <v>12</v>
      </c>
    </row>
    <row r="545" spans="1:17" s="651" customFormat="1">
      <c r="A545" s="455"/>
      <c r="B545" s="455"/>
      <c r="C545" s="652"/>
      <c r="D545" s="455"/>
      <c r="E545" s="653"/>
      <c r="F545" s="455"/>
      <c r="G545" s="647"/>
      <c r="H545" s="455"/>
      <c r="I545" s="653"/>
      <c r="J545" s="455"/>
      <c r="K545" s="455"/>
      <c r="L545" s="455"/>
      <c r="M545" s="1404" t="str">
        <f>+IFERROR(VLOOKUP(G545,'S1&amp;2 Lists'!$C$4:$G$200,3,FALSE),"-")</f>
        <v>-</v>
      </c>
      <c r="N545" s="1404" t="str">
        <f t="shared" si="8"/>
        <v>-</v>
      </c>
      <c r="P545" s="1405">
        <f>ROUND(IF(L545='S1&amp;2 Lists'!$CV$3,K545,IF(L545='S1&amp;2 Lists'!$CV$4,K545/'S1&amp;2 Lists'!$CQ$6,0)),3)</f>
        <v>0</v>
      </c>
      <c r="Q545" s="10" t="s">
        <v>12</v>
      </c>
    </row>
    <row r="546" spans="1:17" s="651" customFormat="1">
      <c r="A546" s="455"/>
      <c r="B546" s="455"/>
      <c r="C546" s="652"/>
      <c r="D546" s="455"/>
      <c r="E546" s="653"/>
      <c r="F546" s="455"/>
      <c r="G546" s="647"/>
      <c r="H546" s="455"/>
      <c r="I546" s="653"/>
      <c r="J546" s="455"/>
      <c r="K546" s="455"/>
      <c r="L546" s="455"/>
      <c r="M546" s="1404" t="str">
        <f>+IFERROR(VLOOKUP(G546,'S1&amp;2 Lists'!$C$4:$G$200,3,FALSE),"-")</f>
        <v>-</v>
      </c>
      <c r="N546" s="1404" t="str">
        <f t="shared" si="8"/>
        <v>-</v>
      </c>
      <c r="P546" s="1405">
        <f>ROUND(IF(L546='S1&amp;2 Lists'!$CV$3,K546,IF(L546='S1&amp;2 Lists'!$CV$4,K546/'S1&amp;2 Lists'!$CQ$6,0)),3)</f>
        <v>0</v>
      </c>
      <c r="Q546" s="10" t="s">
        <v>12</v>
      </c>
    </row>
    <row r="547" spans="1:17" s="651" customFormat="1">
      <c r="A547" s="455"/>
      <c r="B547" s="455"/>
      <c r="C547" s="652"/>
      <c r="D547" s="455"/>
      <c r="E547" s="653"/>
      <c r="F547" s="455"/>
      <c r="G547" s="647"/>
      <c r="H547" s="455"/>
      <c r="I547" s="653"/>
      <c r="J547" s="455"/>
      <c r="K547" s="455"/>
      <c r="L547" s="455"/>
      <c r="M547" s="1404" t="str">
        <f>+IFERROR(VLOOKUP(G547,'S1&amp;2 Lists'!$C$4:$G$200,3,FALSE),"-")</f>
        <v>-</v>
      </c>
      <c r="N547" s="1404" t="str">
        <f t="shared" si="8"/>
        <v>-</v>
      </c>
      <c r="P547" s="1405">
        <f>ROUND(IF(L547='S1&amp;2 Lists'!$CV$3,K547,IF(L547='S1&amp;2 Lists'!$CV$4,K547/'S1&amp;2 Lists'!$CQ$6,0)),3)</f>
        <v>0</v>
      </c>
      <c r="Q547" s="10" t="s">
        <v>12</v>
      </c>
    </row>
    <row r="548" spans="1:17" s="651" customFormat="1">
      <c r="A548" s="455"/>
      <c r="B548" s="455"/>
      <c r="C548" s="652"/>
      <c r="D548" s="455"/>
      <c r="E548" s="653"/>
      <c r="F548" s="455"/>
      <c r="G548" s="647"/>
      <c r="H548" s="455"/>
      <c r="I548" s="653"/>
      <c r="J548" s="455"/>
      <c r="K548" s="455"/>
      <c r="L548" s="455"/>
      <c r="M548" s="1404" t="str">
        <f>+IFERROR(VLOOKUP(G548,'S1&amp;2 Lists'!$C$4:$G$200,3,FALSE),"-")</f>
        <v>-</v>
      </c>
      <c r="N548" s="1404" t="str">
        <f t="shared" si="8"/>
        <v>-</v>
      </c>
      <c r="P548" s="1405">
        <f>ROUND(IF(L548='S1&amp;2 Lists'!$CV$3,K548,IF(L548='S1&amp;2 Lists'!$CV$4,K548/'S1&amp;2 Lists'!$CQ$6,0)),3)</f>
        <v>0</v>
      </c>
      <c r="Q548" s="10" t="s">
        <v>12</v>
      </c>
    </row>
    <row r="549" spans="1:17" s="651" customFormat="1">
      <c r="A549" s="455"/>
      <c r="B549" s="455"/>
      <c r="C549" s="652"/>
      <c r="D549" s="455"/>
      <c r="E549" s="653"/>
      <c r="F549" s="455"/>
      <c r="G549" s="647"/>
      <c r="H549" s="455"/>
      <c r="I549" s="653"/>
      <c r="J549" s="455"/>
      <c r="K549" s="455"/>
      <c r="L549" s="455"/>
      <c r="M549" s="1404" t="str">
        <f>+IFERROR(VLOOKUP(G549,'S1&amp;2 Lists'!$C$4:$G$200,3,FALSE),"-")</f>
        <v>-</v>
      </c>
      <c r="N549" s="1404" t="str">
        <f t="shared" si="8"/>
        <v>-</v>
      </c>
      <c r="P549" s="1405">
        <f>ROUND(IF(L549='S1&amp;2 Lists'!$CV$3,K549,IF(L549='S1&amp;2 Lists'!$CV$4,K549/'S1&amp;2 Lists'!$CQ$6,0)),3)</f>
        <v>0</v>
      </c>
      <c r="Q549" s="10" t="s">
        <v>12</v>
      </c>
    </row>
    <row r="550" spans="1:17" s="651" customFormat="1">
      <c r="A550" s="455"/>
      <c r="B550" s="455"/>
      <c r="C550" s="652"/>
      <c r="D550" s="455"/>
      <c r="E550" s="653"/>
      <c r="F550" s="455"/>
      <c r="G550" s="647"/>
      <c r="H550" s="455"/>
      <c r="I550" s="653"/>
      <c r="J550" s="455"/>
      <c r="K550" s="455"/>
      <c r="L550" s="455"/>
      <c r="M550" s="1404" t="str">
        <f>+IFERROR(VLOOKUP(G550,'S1&amp;2 Lists'!$C$4:$G$200,3,FALSE),"-")</f>
        <v>-</v>
      </c>
      <c r="N550" s="1404" t="str">
        <f t="shared" si="8"/>
        <v>-</v>
      </c>
      <c r="P550" s="1405">
        <f>ROUND(IF(L550='S1&amp;2 Lists'!$CV$3,K550,IF(L550='S1&amp;2 Lists'!$CV$4,K550/'S1&amp;2 Lists'!$CQ$6,0)),3)</f>
        <v>0</v>
      </c>
      <c r="Q550" s="10" t="s">
        <v>12</v>
      </c>
    </row>
    <row r="551" spans="1:17" s="651" customFormat="1">
      <c r="A551" s="455"/>
      <c r="B551" s="455"/>
      <c r="C551" s="652"/>
      <c r="D551" s="455"/>
      <c r="E551" s="653"/>
      <c r="F551" s="455"/>
      <c r="G551" s="647"/>
      <c r="H551" s="455"/>
      <c r="I551" s="653"/>
      <c r="J551" s="455"/>
      <c r="K551" s="455"/>
      <c r="L551" s="455"/>
      <c r="M551" s="1404" t="str">
        <f>+IFERROR(VLOOKUP(G551,'S1&amp;2 Lists'!$C$4:$G$200,3,FALSE),"-")</f>
        <v>-</v>
      </c>
      <c r="N551" s="1404" t="str">
        <f t="shared" si="8"/>
        <v>-</v>
      </c>
      <c r="P551" s="1405">
        <f>ROUND(IF(L551='S1&amp;2 Lists'!$CV$3,K551,IF(L551='S1&amp;2 Lists'!$CV$4,K551/'S1&amp;2 Lists'!$CQ$6,0)),3)</f>
        <v>0</v>
      </c>
      <c r="Q551" s="10" t="s">
        <v>12</v>
      </c>
    </row>
    <row r="552" spans="1:17" s="651" customFormat="1">
      <c r="A552" s="455"/>
      <c r="B552" s="455"/>
      <c r="C552" s="652"/>
      <c r="D552" s="455"/>
      <c r="E552" s="653"/>
      <c r="F552" s="455"/>
      <c r="G552" s="647"/>
      <c r="H552" s="455"/>
      <c r="I552" s="653"/>
      <c r="J552" s="455"/>
      <c r="K552" s="455"/>
      <c r="L552" s="455"/>
      <c r="M552" s="1404" t="str">
        <f>+IFERROR(VLOOKUP(G552,'S1&amp;2 Lists'!$C$4:$G$200,3,FALSE),"-")</f>
        <v>-</v>
      </c>
      <c r="N552" s="1404" t="str">
        <f t="shared" si="8"/>
        <v>-</v>
      </c>
      <c r="P552" s="1405">
        <f>ROUND(IF(L552='S1&amp;2 Lists'!$CV$3,K552,IF(L552='S1&amp;2 Lists'!$CV$4,K552/'S1&amp;2 Lists'!$CQ$6,0)),3)</f>
        <v>0</v>
      </c>
      <c r="Q552" s="10" t="s">
        <v>12</v>
      </c>
    </row>
    <row r="553" spans="1:17" s="651" customFormat="1">
      <c r="A553" s="455"/>
      <c r="B553" s="455"/>
      <c r="C553" s="652"/>
      <c r="D553" s="455"/>
      <c r="E553" s="653"/>
      <c r="F553" s="455"/>
      <c r="G553" s="647"/>
      <c r="H553" s="455"/>
      <c r="I553" s="653"/>
      <c r="J553" s="455"/>
      <c r="K553" s="455"/>
      <c r="L553" s="455"/>
      <c r="M553" s="1404" t="str">
        <f>+IFERROR(VLOOKUP(G553,'S1&amp;2 Lists'!$C$4:$G$200,3,FALSE),"-")</f>
        <v>-</v>
      </c>
      <c r="N553" s="1404" t="str">
        <f t="shared" si="8"/>
        <v>-</v>
      </c>
      <c r="P553" s="1405">
        <f>ROUND(IF(L553='S1&amp;2 Lists'!$CV$3,K553,IF(L553='S1&amp;2 Lists'!$CV$4,K553/'S1&amp;2 Lists'!$CQ$6,0)),3)</f>
        <v>0</v>
      </c>
      <c r="Q553" s="10" t="s">
        <v>12</v>
      </c>
    </row>
    <row r="554" spans="1:17" s="651" customFormat="1">
      <c r="A554" s="455"/>
      <c r="B554" s="455"/>
      <c r="C554" s="652"/>
      <c r="D554" s="455"/>
      <c r="E554" s="653"/>
      <c r="F554" s="455"/>
      <c r="G554" s="647"/>
      <c r="H554" s="455"/>
      <c r="I554" s="653"/>
      <c r="J554" s="455"/>
      <c r="K554" s="455"/>
      <c r="L554" s="455"/>
      <c r="M554" s="1404" t="str">
        <f>+IFERROR(VLOOKUP(G554,'S1&amp;2 Lists'!$C$4:$G$200,3,FALSE),"-")</f>
        <v>-</v>
      </c>
      <c r="N554" s="1404" t="str">
        <f t="shared" si="8"/>
        <v>-</v>
      </c>
      <c r="P554" s="1405">
        <f>ROUND(IF(L554='S1&amp;2 Lists'!$CV$3,K554,IF(L554='S1&amp;2 Lists'!$CV$4,K554/'S1&amp;2 Lists'!$CQ$6,0)),3)</f>
        <v>0</v>
      </c>
      <c r="Q554" s="10" t="s">
        <v>12</v>
      </c>
    </row>
    <row r="555" spans="1:17" s="651" customFormat="1">
      <c r="A555" s="455"/>
      <c r="B555" s="455"/>
      <c r="C555" s="652"/>
      <c r="D555" s="455"/>
      <c r="E555" s="653"/>
      <c r="F555" s="455"/>
      <c r="G555" s="647"/>
      <c r="H555" s="455"/>
      <c r="I555" s="653"/>
      <c r="J555" s="455"/>
      <c r="K555" s="455"/>
      <c r="L555" s="455"/>
      <c r="M555" s="1404" t="str">
        <f>+IFERROR(VLOOKUP(G555,'S1&amp;2 Lists'!$C$4:$G$200,3,FALSE),"-")</f>
        <v>-</v>
      </c>
      <c r="N555" s="1404" t="str">
        <f t="shared" si="8"/>
        <v>-</v>
      </c>
      <c r="P555" s="1405">
        <f>ROUND(IF(L555='S1&amp;2 Lists'!$CV$3,K555,IF(L555='S1&amp;2 Lists'!$CV$4,K555/'S1&amp;2 Lists'!$CQ$6,0)),3)</f>
        <v>0</v>
      </c>
      <c r="Q555" s="10" t="s">
        <v>12</v>
      </c>
    </row>
    <row r="556" spans="1:17" s="651" customFormat="1">
      <c r="A556" s="455"/>
      <c r="B556" s="455"/>
      <c r="C556" s="652"/>
      <c r="D556" s="455"/>
      <c r="E556" s="653"/>
      <c r="F556" s="455"/>
      <c r="G556" s="647"/>
      <c r="H556" s="455"/>
      <c r="I556" s="653"/>
      <c r="J556" s="455"/>
      <c r="K556" s="455"/>
      <c r="L556" s="455"/>
      <c r="M556" s="1404" t="str">
        <f>+IFERROR(VLOOKUP(G556,'S1&amp;2 Lists'!$C$4:$G$200,3,FALSE),"-")</f>
        <v>-</v>
      </c>
      <c r="N556" s="1404" t="str">
        <f t="shared" si="8"/>
        <v>-</v>
      </c>
      <c r="P556" s="1405">
        <f>ROUND(IF(L556='S1&amp;2 Lists'!$CV$3,K556,IF(L556='S1&amp;2 Lists'!$CV$4,K556/'S1&amp;2 Lists'!$CQ$6,0)),3)</f>
        <v>0</v>
      </c>
      <c r="Q556" s="10" t="s">
        <v>12</v>
      </c>
    </row>
    <row r="557" spans="1:17" s="651" customFormat="1">
      <c r="A557" s="455"/>
      <c r="B557" s="455"/>
      <c r="C557" s="652"/>
      <c r="D557" s="455"/>
      <c r="E557" s="653"/>
      <c r="F557" s="455"/>
      <c r="G557" s="647"/>
      <c r="H557" s="455"/>
      <c r="I557" s="653"/>
      <c r="J557" s="455"/>
      <c r="K557" s="455"/>
      <c r="L557" s="455"/>
      <c r="M557" s="1404" t="str">
        <f>+IFERROR(VLOOKUP(G557,'S1&amp;2 Lists'!$C$4:$G$200,3,FALSE),"-")</f>
        <v>-</v>
      </c>
      <c r="N557" s="1404" t="str">
        <f t="shared" si="8"/>
        <v>-</v>
      </c>
      <c r="P557" s="1405">
        <f>ROUND(IF(L557='S1&amp;2 Lists'!$CV$3,K557,IF(L557='S1&amp;2 Lists'!$CV$4,K557/'S1&amp;2 Lists'!$CQ$6,0)),3)</f>
        <v>0</v>
      </c>
      <c r="Q557" s="10" t="s">
        <v>12</v>
      </c>
    </row>
    <row r="558" spans="1:17" s="651" customFormat="1">
      <c r="A558" s="455"/>
      <c r="B558" s="455"/>
      <c r="C558" s="652"/>
      <c r="D558" s="455"/>
      <c r="E558" s="653"/>
      <c r="F558" s="455"/>
      <c r="G558" s="647"/>
      <c r="H558" s="455"/>
      <c r="I558" s="653"/>
      <c r="J558" s="455"/>
      <c r="K558" s="455"/>
      <c r="L558" s="455"/>
      <c r="M558" s="1404" t="str">
        <f>+IFERROR(VLOOKUP(G558,'S1&amp;2 Lists'!$C$4:$G$200,3,FALSE),"-")</f>
        <v>-</v>
      </c>
      <c r="N558" s="1404" t="str">
        <f t="shared" si="8"/>
        <v>-</v>
      </c>
      <c r="P558" s="1405">
        <f>ROUND(IF(L558='S1&amp;2 Lists'!$CV$3,K558,IF(L558='S1&amp;2 Lists'!$CV$4,K558/'S1&amp;2 Lists'!$CQ$6,0)),3)</f>
        <v>0</v>
      </c>
      <c r="Q558" s="10" t="s">
        <v>12</v>
      </c>
    </row>
    <row r="559" spans="1:17" s="651" customFormat="1">
      <c r="A559" s="455"/>
      <c r="B559" s="455"/>
      <c r="C559" s="652"/>
      <c r="D559" s="455"/>
      <c r="E559" s="653"/>
      <c r="F559" s="455"/>
      <c r="G559" s="647"/>
      <c r="H559" s="455"/>
      <c r="I559" s="653"/>
      <c r="J559" s="455"/>
      <c r="K559" s="455"/>
      <c r="L559" s="455"/>
      <c r="M559" s="1404" t="str">
        <f>+IFERROR(VLOOKUP(G559,'S1&amp;2 Lists'!$C$4:$G$200,3,FALSE),"-")</f>
        <v>-</v>
      </c>
      <c r="N559" s="1404" t="str">
        <f t="shared" si="8"/>
        <v>-</v>
      </c>
      <c r="P559" s="1405">
        <f>ROUND(IF(L559='S1&amp;2 Lists'!$CV$3,K559,IF(L559='S1&amp;2 Lists'!$CV$4,K559/'S1&amp;2 Lists'!$CQ$6,0)),3)</f>
        <v>0</v>
      </c>
      <c r="Q559" s="10" t="s">
        <v>12</v>
      </c>
    </row>
    <row r="560" spans="1:17" s="651" customFormat="1">
      <c r="A560" s="455"/>
      <c r="B560" s="455"/>
      <c r="C560" s="652"/>
      <c r="D560" s="455"/>
      <c r="E560" s="653"/>
      <c r="F560" s="455"/>
      <c r="G560" s="647"/>
      <c r="H560" s="455"/>
      <c r="I560" s="653"/>
      <c r="J560" s="455"/>
      <c r="K560" s="455"/>
      <c r="L560" s="455"/>
      <c r="M560" s="1404" t="str">
        <f>+IFERROR(VLOOKUP(G560,'S1&amp;2 Lists'!$C$4:$G$200,3,FALSE),"-")</f>
        <v>-</v>
      </c>
      <c r="N560" s="1404" t="str">
        <f t="shared" si="8"/>
        <v>-</v>
      </c>
      <c r="P560" s="1405">
        <f>ROUND(IF(L560='S1&amp;2 Lists'!$CV$3,K560,IF(L560='S1&amp;2 Lists'!$CV$4,K560/'S1&amp;2 Lists'!$CQ$6,0)),3)</f>
        <v>0</v>
      </c>
      <c r="Q560" s="10" t="s">
        <v>12</v>
      </c>
    </row>
    <row r="561" spans="1:17" s="651" customFormat="1">
      <c r="A561" s="455"/>
      <c r="B561" s="455"/>
      <c r="C561" s="652"/>
      <c r="D561" s="455"/>
      <c r="E561" s="653"/>
      <c r="F561" s="455"/>
      <c r="G561" s="647"/>
      <c r="H561" s="455"/>
      <c r="I561" s="653"/>
      <c r="J561" s="455"/>
      <c r="K561" s="455"/>
      <c r="L561" s="455"/>
      <c r="M561" s="1404" t="str">
        <f>+IFERROR(VLOOKUP(G561,'S1&amp;2 Lists'!$C$4:$G$200,3,FALSE),"-")</f>
        <v>-</v>
      </c>
      <c r="N561" s="1404" t="str">
        <f t="shared" si="8"/>
        <v>-</v>
      </c>
      <c r="P561" s="1405">
        <f>ROUND(IF(L561='S1&amp;2 Lists'!$CV$3,K561,IF(L561='S1&amp;2 Lists'!$CV$4,K561/'S1&amp;2 Lists'!$CQ$6,0)),3)</f>
        <v>0</v>
      </c>
      <c r="Q561" s="10" t="s">
        <v>12</v>
      </c>
    </row>
    <row r="562" spans="1:17" s="651" customFormat="1">
      <c r="A562" s="455"/>
      <c r="B562" s="455"/>
      <c r="C562" s="652"/>
      <c r="D562" s="455"/>
      <c r="E562" s="653"/>
      <c r="F562" s="455"/>
      <c r="G562" s="647"/>
      <c r="H562" s="455"/>
      <c r="I562" s="653"/>
      <c r="J562" s="455"/>
      <c r="K562" s="455"/>
      <c r="L562" s="455"/>
      <c r="M562" s="1404" t="str">
        <f>+IFERROR(VLOOKUP(G562,'S1&amp;2 Lists'!$C$4:$G$200,3,FALSE),"-")</f>
        <v>-</v>
      </c>
      <c r="N562" s="1404" t="str">
        <f t="shared" si="8"/>
        <v>-</v>
      </c>
      <c r="P562" s="1405">
        <f>ROUND(IF(L562='S1&amp;2 Lists'!$CV$3,K562,IF(L562='S1&amp;2 Lists'!$CV$4,K562/'S1&amp;2 Lists'!$CQ$6,0)),3)</f>
        <v>0</v>
      </c>
      <c r="Q562" s="10" t="s">
        <v>12</v>
      </c>
    </row>
    <row r="563" spans="1:17" s="651" customFormat="1">
      <c r="A563" s="455"/>
      <c r="B563" s="455"/>
      <c r="C563" s="652"/>
      <c r="D563" s="455"/>
      <c r="E563" s="653"/>
      <c r="F563" s="455"/>
      <c r="G563" s="647"/>
      <c r="H563" s="455"/>
      <c r="I563" s="653"/>
      <c r="J563" s="455"/>
      <c r="K563" s="455"/>
      <c r="L563" s="455"/>
      <c r="M563" s="1404" t="str">
        <f>+IFERROR(VLOOKUP(G563,'S1&amp;2 Lists'!$C$4:$G$200,3,FALSE),"-")</f>
        <v>-</v>
      </c>
      <c r="N563" s="1404" t="str">
        <f t="shared" si="8"/>
        <v>-</v>
      </c>
      <c r="P563" s="1405">
        <f>ROUND(IF(L563='S1&amp;2 Lists'!$CV$3,K563,IF(L563='S1&amp;2 Lists'!$CV$4,K563/'S1&amp;2 Lists'!$CQ$6,0)),3)</f>
        <v>0</v>
      </c>
      <c r="Q563" s="10" t="s">
        <v>12</v>
      </c>
    </row>
    <row r="564" spans="1:17" s="651" customFormat="1">
      <c r="A564" s="455"/>
      <c r="B564" s="455"/>
      <c r="C564" s="652"/>
      <c r="D564" s="455"/>
      <c r="E564" s="653"/>
      <c r="F564" s="455"/>
      <c r="G564" s="647"/>
      <c r="H564" s="455"/>
      <c r="I564" s="653"/>
      <c r="J564" s="455"/>
      <c r="K564" s="455"/>
      <c r="L564" s="455"/>
      <c r="M564" s="1404" t="str">
        <f>+IFERROR(VLOOKUP(G564,'S1&amp;2 Lists'!$C$4:$G$200,3,FALSE),"-")</f>
        <v>-</v>
      </c>
      <c r="N564" s="1404" t="str">
        <f t="shared" si="8"/>
        <v>-</v>
      </c>
      <c r="P564" s="1405">
        <f>ROUND(IF(L564='S1&amp;2 Lists'!$CV$3,K564,IF(L564='S1&amp;2 Lists'!$CV$4,K564/'S1&amp;2 Lists'!$CQ$6,0)),3)</f>
        <v>0</v>
      </c>
      <c r="Q564" s="10" t="s">
        <v>12</v>
      </c>
    </row>
    <row r="565" spans="1:17" s="651" customFormat="1">
      <c r="A565" s="455"/>
      <c r="B565" s="455"/>
      <c r="C565" s="652"/>
      <c r="D565" s="455"/>
      <c r="E565" s="653"/>
      <c r="F565" s="455"/>
      <c r="G565" s="647"/>
      <c r="H565" s="455"/>
      <c r="I565" s="653"/>
      <c r="J565" s="455"/>
      <c r="K565" s="455"/>
      <c r="L565" s="455"/>
      <c r="M565" s="1404" t="str">
        <f>+IFERROR(VLOOKUP(G565,'S1&amp;2 Lists'!$C$4:$G$200,3,FALSE),"-")</f>
        <v>-</v>
      </c>
      <c r="N565" s="1404" t="str">
        <f t="shared" si="8"/>
        <v>-</v>
      </c>
      <c r="P565" s="1405">
        <f>ROUND(IF(L565='S1&amp;2 Lists'!$CV$3,K565,IF(L565='S1&amp;2 Lists'!$CV$4,K565/'S1&amp;2 Lists'!$CQ$6,0)),3)</f>
        <v>0</v>
      </c>
      <c r="Q565" s="10" t="s">
        <v>12</v>
      </c>
    </row>
    <row r="566" spans="1:17" s="651" customFormat="1">
      <c r="A566" s="455"/>
      <c r="B566" s="455"/>
      <c r="C566" s="652"/>
      <c r="D566" s="455"/>
      <c r="E566" s="653"/>
      <c r="F566" s="455"/>
      <c r="G566" s="647"/>
      <c r="H566" s="455"/>
      <c r="I566" s="653"/>
      <c r="J566" s="455"/>
      <c r="K566" s="455"/>
      <c r="L566" s="455"/>
      <c r="M566" s="1404" t="str">
        <f>+IFERROR(VLOOKUP(G566,'S1&amp;2 Lists'!$C$4:$G$200,3,FALSE),"-")</f>
        <v>-</v>
      </c>
      <c r="N566" s="1404" t="str">
        <f t="shared" si="8"/>
        <v>-</v>
      </c>
      <c r="P566" s="1405">
        <f>ROUND(IF(L566='S1&amp;2 Lists'!$CV$3,K566,IF(L566='S1&amp;2 Lists'!$CV$4,K566/'S1&amp;2 Lists'!$CQ$6,0)),3)</f>
        <v>0</v>
      </c>
      <c r="Q566" s="10" t="s">
        <v>12</v>
      </c>
    </row>
    <row r="567" spans="1:17" s="651" customFormat="1">
      <c r="A567" s="455"/>
      <c r="B567" s="455"/>
      <c r="C567" s="652"/>
      <c r="D567" s="455"/>
      <c r="E567" s="653"/>
      <c r="F567" s="455"/>
      <c r="G567" s="647"/>
      <c r="H567" s="455"/>
      <c r="I567" s="653"/>
      <c r="J567" s="455"/>
      <c r="K567" s="455"/>
      <c r="L567" s="455"/>
      <c r="M567" s="1404" t="str">
        <f>+IFERROR(VLOOKUP(G567,'S1&amp;2 Lists'!$C$4:$G$200,3,FALSE),"-")</f>
        <v>-</v>
      </c>
      <c r="N567" s="1404" t="str">
        <f t="shared" si="8"/>
        <v>-</v>
      </c>
      <c r="P567" s="1405">
        <f>ROUND(IF(L567='S1&amp;2 Lists'!$CV$3,K567,IF(L567='S1&amp;2 Lists'!$CV$4,K567/'S1&amp;2 Lists'!$CQ$6,0)),3)</f>
        <v>0</v>
      </c>
      <c r="Q567" s="10" t="s">
        <v>12</v>
      </c>
    </row>
    <row r="568" spans="1:17" s="651" customFormat="1">
      <c r="A568" s="455"/>
      <c r="B568" s="455"/>
      <c r="C568" s="652"/>
      <c r="D568" s="455"/>
      <c r="E568" s="653"/>
      <c r="F568" s="455"/>
      <c r="G568" s="647"/>
      <c r="H568" s="455"/>
      <c r="I568" s="653"/>
      <c r="J568" s="455"/>
      <c r="K568" s="455"/>
      <c r="L568" s="455"/>
      <c r="M568" s="1404" t="str">
        <f>+IFERROR(VLOOKUP(G568,'S1&amp;2 Lists'!$C$4:$G$200,3,FALSE),"-")</f>
        <v>-</v>
      </c>
      <c r="N568" s="1404" t="str">
        <f t="shared" si="8"/>
        <v>-</v>
      </c>
      <c r="P568" s="1405">
        <f>ROUND(IF(L568='S1&amp;2 Lists'!$CV$3,K568,IF(L568='S1&amp;2 Lists'!$CV$4,K568/'S1&amp;2 Lists'!$CQ$6,0)),3)</f>
        <v>0</v>
      </c>
      <c r="Q568" s="10" t="s">
        <v>12</v>
      </c>
    </row>
    <row r="569" spans="1:17" s="651" customFormat="1">
      <c r="A569" s="455"/>
      <c r="B569" s="455"/>
      <c r="C569" s="652"/>
      <c r="D569" s="455"/>
      <c r="E569" s="653"/>
      <c r="F569" s="455"/>
      <c r="G569" s="647"/>
      <c r="H569" s="455"/>
      <c r="I569" s="653"/>
      <c r="J569" s="455"/>
      <c r="K569" s="455"/>
      <c r="L569" s="455"/>
      <c r="M569" s="1404" t="str">
        <f>+IFERROR(VLOOKUP(G569,'S1&amp;2 Lists'!$C$4:$G$200,3,FALSE),"-")</f>
        <v>-</v>
      </c>
      <c r="N569" s="1404" t="str">
        <f t="shared" si="8"/>
        <v>-</v>
      </c>
      <c r="P569" s="1405">
        <f>ROUND(IF(L569='S1&amp;2 Lists'!$CV$3,K569,IF(L569='S1&amp;2 Lists'!$CV$4,K569/'S1&amp;2 Lists'!$CQ$6,0)),3)</f>
        <v>0</v>
      </c>
      <c r="Q569" s="10" t="s">
        <v>12</v>
      </c>
    </row>
    <row r="570" spans="1:17" s="651" customFormat="1">
      <c r="A570" s="455"/>
      <c r="B570" s="455"/>
      <c r="C570" s="652"/>
      <c r="D570" s="455"/>
      <c r="E570" s="653"/>
      <c r="F570" s="455"/>
      <c r="G570" s="647"/>
      <c r="H570" s="455"/>
      <c r="I570" s="653"/>
      <c r="J570" s="455"/>
      <c r="K570" s="455"/>
      <c r="L570" s="455"/>
      <c r="M570" s="1404" t="str">
        <f>+IFERROR(VLOOKUP(G570,'S1&amp;2 Lists'!$C$4:$G$200,3,FALSE),"-")</f>
        <v>-</v>
      </c>
      <c r="N570" s="1404" t="str">
        <f t="shared" si="8"/>
        <v>-</v>
      </c>
      <c r="P570" s="1405">
        <f>ROUND(IF(L570='S1&amp;2 Lists'!$CV$3,K570,IF(L570='S1&amp;2 Lists'!$CV$4,K570/'S1&amp;2 Lists'!$CQ$6,0)),3)</f>
        <v>0</v>
      </c>
      <c r="Q570" s="10" t="s">
        <v>12</v>
      </c>
    </row>
    <row r="571" spans="1:17" s="651" customFormat="1">
      <c r="A571" s="455"/>
      <c r="B571" s="455"/>
      <c r="C571" s="652"/>
      <c r="D571" s="455"/>
      <c r="E571" s="653"/>
      <c r="F571" s="455"/>
      <c r="G571" s="647"/>
      <c r="H571" s="455"/>
      <c r="I571" s="653"/>
      <c r="J571" s="455"/>
      <c r="K571" s="455"/>
      <c r="L571" s="455"/>
      <c r="M571" s="1404" t="str">
        <f>+IFERROR(VLOOKUP(G571,'S1&amp;2 Lists'!$C$4:$G$200,3,FALSE),"-")</f>
        <v>-</v>
      </c>
      <c r="N571" s="1404" t="str">
        <f t="shared" si="8"/>
        <v>-</v>
      </c>
      <c r="P571" s="1405">
        <f>ROUND(IF(L571='S1&amp;2 Lists'!$CV$3,K571,IF(L571='S1&amp;2 Lists'!$CV$4,K571/'S1&amp;2 Lists'!$CQ$6,0)),3)</f>
        <v>0</v>
      </c>
      <c r="Q571" s="10" t="s">
        <v>12</v>
      </c>
    </row>
    <row r="572" spans="1:17" s="651" customFormat="1">
      <c r="A572" s="455"/>
      <c r="B572" s="455"/>
      <c r="C572" s="652"/>
      <c r="D572" s="455"/>
      <c r="E572" s="653"/>
      <c r="F572" s="455"/>
      <c r="G572" s="647"/>
      <c r="H572" s="455"/>
      <c r="I572" s="653"/>
      <c r="J572" s="455"/>
      <c r="K572" s="455"/>
      <c r="L572" s="455"/>
      <c r="M572" s="1404" t="str">
        <f>+IFERROR(VLOOKUP(G572,'S1&amp;2 Lists'!$C$4:$G$200,3,FALSE),"-")</f>
        <v>-</v>
      </c>
      <c r="N572" s="1404" t="str">
        <f t="shared" si="8"/>
        <v>-</v>
      </c>
      <c r="P572" s="1405">
        <f>ROUND(IF(L572='S1&amp;2 Lists'!$CV$3,K572,IF(L572='S1&amp;2 Lists'!$CV$4,K572/'S1&amp;2 Lists'!$CQ$6,0)),3)</f>
        <v>0</v>
      </c>
      <c r="Q572" s="10" t="s">
        <v>12</v>
      </c>
    </row>
    <row r="573" spans="1:17" s="651" customFormat="1">
      <c r="A573" s="455"/>
      <c r="B573" s="455"/>
      <c r="C573" s="652"/>
      <c r="D573" s="455"/>
      <c r="E573" s="653"/>
      <c r="F573" s="455"/>
      <c r="G573" s="647"/>
      <c r="H573" s="455"/>
      <c r="I573" s="653"/>
      <c r="J573" s="455"/>
      <c r="K573" s="455"/>
      <c r="L573" s="455"/>
      <c r="M573" s="1404" t="str">
        <f>+IFERROR(VLOOKUP(G573,'S1&amp;2 Lists'!$C$4:$G$200,3,FALSE),"-")</f>
        <v>-</v>
      </c>
      <c r="N573" s="1404" t="str">
        <f t="shared" si="8"/>
        <v>-</v>
      </c>
      <c r="P573" s="1405">
        <f>ROUND(IF(L573='S1&amp;2 Lists'!$CV$3,K573,IF(L573='S1&amp;2 Lists'!$CV$4,K573/'S1&amp;2 Lists'!$CQ$6,0)),3)</f>
        <v>0</v>
      </c>
      <c r="Q573" s="10" t="s">
        <v>12</v>
      </c>
    </row>
    <row r="574" spans="1:17" s="651" customFormat="1">
      <c r="A574" s="455"/>
      <c r="B574" s="455"/>
      <c r="C574" s="652"/>
      <c r="D574" s="455"/>
      <c r="E574" s="653"/>
      <c r="F574" s="455"/>
      <c r="G574" s="647"/>
      <c r="H574" s="455"/>
      <c r="I574" s="653"/>
      <c r="J574" s="455"/>
      <c r="K574" s="455"/>
      <c r="L574" s="455"/>
      <c r="M574" s="1404" t="str">
        <f>+IFERROR(VLOOKUP(G574,'S1&amp;2 Lists'!$C$4:$G$200,3,FALSE),"-")</f>
        <v>-</v>
      </c>
      <c r="N574" s="1404" t="str">
        <f t="shared" si="8"/>
        <v>-</v>
      </c>
      <c r="P574" s="1405">
        <f>ROUND(IF(L574='S1&amp;2 Lists'!$CV$3,K574,IF(L574='S1&amp;2 Lists'!$CV$4,K574/'S1&amp;2 Lists'!$CQ$6,0)),3)</f>
        <v>0</v>
      </c>
      <c r="Q574" s="10" t="s">
        <v>12</v>
      </c>
    </row>
    <row r="575" spans="1:17" s="651" customFormat="1">
      <c r="A575" s="455"/>
      <c r="B575" s="455"/>
      <c r="C575" s="652"/>
      <c r="D575" s="455"/>
      <c r="E575" s="653"/>
      <c r="F575" s="455"/>
      <c r="G575" s="647"/>
      <c r="H575" s="455"/>
      <c r="I575" s="653"/>
      <c r="J575" s="455"/>
      <c r="K575" s="455"/>
      <c r="L575" s="455"/>
      <c r="M575" s="1404" t="str">
        <f>+IFERROR(VLOOKUP(G575,'S1&amp;2 Lists'!$C$4:$G$200,3,FALSE),"-")</f>
        <v>-</v>
      </c>
      <c r="N575" s="1404" t="str">
        <f t="shared" si="8"/>
        <v>-</v>
      </c>
      <c r="P575" s="1405">
        <f>ROUND(IF(L575='S1&amp;2 Lists'!$CV$3,K575,IF(L575='S1&amp;2 Lists'!$CV$4,K575/'S1&amp;2 Lists'!$CQ$6,0)),3)</f>
        <v>0</v>
      </c>
      <c r="Q575" s="10" t="s">
        <v>12</v>
      </c>
    </row>
    <row r="576" spans="1:17" s="651" customFormat="1">
      <c r="A576" s="455"/>
      <c r="B576" s="455"/>
      <c r="C576" s="652"/>
      <c r="D576" s="455"/>
      <c r="E576" s="653"/>
      <c r="F576" s="455"/>
      <c r="G576" s="647"/>
      <c r="H576" s="455"/>
      <c r="I576" s="653"/>
      <c r="J576" s="455"/>
      <c r="K576" s="455"/>
      <c r="L576" s="455"/>
      <c r="M576" s="1404" t="str">
        <f>+IFERROR(VLOOKUP(G576,'S1&amp;2 Lists'!$C$4:$G$200,3,FALSE),"-")</f>
        <v>-</v>
      </c>
      <c r="N576" s="1404" t="str">
        <f t="shared" si="8"/>
        <v>-</v>
      </c>
      <c r="P576" s="1405">
        <f>ROUND(IF(L576='S1&amp;2 Lists'!$CV$3,K576,IF(L576='S1&amp;2 Lists'!$CV$4,K576/'S1&amp;2 Lists'!$CQ$6,0)),3)</f>
        <v>0</v>
      </c>
      <c r="Q576" s="10" t="s">
        <v>12</v>
      </c>
    </row>
    <row r="577" spans="1:17" s="651" customFormat="1">
      <c r="A577" s="455"/>
      <c r="B577" s="455"/>
      <c r="C577" s="652"/>
      <c r="D577" s="455"/>
      <c r="E577" s="653"/>
      <c r="F577" s="455"/>
      <c r="G577" s="647"/>
      <c r="H577" s="455"/>
      <c r="I577" s="653"/>
      <c r="J577" s="455"/>
      <c r="K577" s="455"/>
      <c r="L577" s="455"/>
      <c r="M577" s="1404" t="str">
        <f>+IFERROR(VLOOKUP(G577,'S1&amp;2 Lists'!$C$4:$G$200,3,FALSE),"-")</f>
        <v>-</v>
      </c>
      <c r="N577" s="1404" t="str">
        <f t="shared" si="8"/>
        <v>-</v>
      </c>
      <c r="P577" s="1405">
        <f>ROUND(IF(L577='S1&amp;2 Lists'!$CV$3,K577,IF(L577='S1&amp;2 Lists'!$CV$4,K577/'S1&amp;2 Lists'!$CQ$6,0)),3)</f>
        <v>0</v>
      </c>
      <c r="Q577" s="10" t="s">
        <v>12</v>
      </c>
    </row>
    <row r="578" spans="1:17" s="651" customFormat="1">
      <c r="A578" s="455"/>
      <c r="B578" s="455"/>
      <c r="C578" s="652"/>
      <c r="D578" s="455"/>
      <c r="E578" s="653"/>
      <c r="F578" s="455"/>
      <c r="G578" s="647"/>
      <c r="H578" s="455"/>
      <c r="I578" s="653"/>
      <c r="J578" s="455"/>
      <c r="K578" s="455"/>
      <c r="L578" s="455"/>
      <c r="M578" s="1404" t="str">
        <f>+IFERROR(VLOOKUP(G578,'S1&amp;2 Lists'!$C$4:$G$200,3,FALSE),"-")</f>
        <v>-</v>
      </c>
      <c r="N578" s="1404" t="str">
        <f t="shared" si="8"/>
        <v>-</v>
      </c>
      <c r="P578" s="1405">
        <f>ROUND(IF(L578='S1&amp;2 Lists'!$CV$3,K578,IF(L578='S1&amp;2 Lists'!$CV$4,K578/'S1&amp;2 Lists'!$CQ$6,0)),3)</f>
        <v>0</v>
      </c>
      <c r="Q578" s="10" t="s">
        <v>12</v>
      </c>
    </row>
    <row r="579" spans="1:17" s="651" customFormat="1">
      <c r="A579" s="455"/>
      <c r="B579" s="455"/>
      <c r="C579" s="652"/>
      <c r="D579" s="455"/>
      <c r="E579" s="653"/>
      <c r="F579" s="455"/>
      <c r="G579" s="647"/>
      <c r="H579" s="455"/>
      <c r="I579" s="653"/>
      <c r="J579" s="455"/>
      <c r="K579" s="455"/>
      <c r="L579" s="455"/>
      <c r="M579" s="1404" t="str">
        <f>+IFERROR(VLOOKUP(G579,'S1&amp;2 Lists'!$C$4:$G$200,3,FALSE),"-")</f>
        <v>-</v>
      </c>
      <c r="N579" s="1404" t="str">
        <f t="shared" si="8"/>
        <v>-</v>
      </c>
      <c r="P579" s="1405">
        <f>ROUND(IF(L579='S1&amp;2 Lists'!$CV$3,K579,IF(L579='S1&amp;2 Lists'!$CV$4,K579/'S1&amp;2 Lists'!$CQ$6,0)),3)</f>
        <v>0</v>
      </c>
      <c r="Q579" s="10" t="s">
        <v>12</v>
      </c>
    </row>
    <row r="580" spans="1:17" s="651" customFormat="1">
      <c r="A580" s="455"/>
      <c r="B580" s="455"/>
      <c r="C580" s="652"/>
      <c r="D580" s="455"/>
      <c r="E580" s="653"/>
      <c r="F580" s="455"/>
      <c r="G580" s="647"/>
      <c r="H580" s="455"/>
      <c r="I580" s="653"/>
      <c r="J580" s="455"/>
      <c r="K580" s="455"/>
      <c r="L580" s="455"/>
      <c r="M580" s="1404" t="str">
        <f>+IFERROR(VLOOKUP(G580,'S1&amp;2 Lists'!$C$4:$G$200,3,FALSE),"-")</f>
        <v>-</v>
      </c>
      <c r="N580" s="1404" t="str">
        <f t="shared" si="8"/>
        <v>-</v>
      </c>
      <c r="P580" s="1405">
        <f>ROUND(IF(L580='S1&amp;2 Lists'!$CV$3,K580,IF(L580='S1&amp;2 Lists'!$CV$4,K580/'S1&amp;2 Lists'!$CQ$6,0)),3)</f>
        <v>0</v>
      </c>
      <c r="Q580" s="10" t="s">
        <v>12</v>
      </c>
    </row>
    <row r="581" spans="1:17" s="651" customFormat="1">
      <c r="A581" s="455"/>
      <c r="B581" s="455"/>
      <c r="C581" s="652"/>
      <c r="D581" s="455"/>
      <c r="E581" s="653"/>
      <c r="F581" s="455"/>
      <c r="G581" s="647"/>
      <c r="H581" s="455"/>
      <c r="I581" s="653"/>
      <c r="J581" s="455"/>
      <c r="K581" s="455"/>
      <c r="L581" s="455"/>
      <c r="M581" s="1404" t="str">
        <f>+IFERROR(VLOOKUP(G581,'S1&amp;2 Lists'!$C$4:$G$200,3,FALSE),"-")</f>
        <v>-</v>
      </c>
      <c r="N581" s="1404" t="str">
        <f t="shared" si="8"/>
        <v>-</v>
      </c>
      <c r="P581" s="1405">
        <f>ROUND(IF(L581='S1&amp;2 Lists'!$CV$3,K581,IF(L581='S1&amp;2 Lists'!$CV$4,K581/'S1&amp;2 Lists'!$CQ$6,0)),3)</f>
        <v>0</v>
      </c>
      <c r="Q581" s="10" t="s">
        <v>12</v>
      </c>
    </row>
    <row r="582" spans="1:17" s="651" customFormat="1">
      <c r="A582" s="455"/>
      <c r="B582" s="455"/>
      <c r="C582" s="652"/>
      <c r="D582" s="455"/>
      <c r="E582" s="653"/>
      <c r="F582" s="455"/>
      <c r="G582" s="647"/>
      <c r="H582" s="455"/>
      <c r="I582" s="653"/>
      <c r="J582" s="455"/>
      <c r="K582" s="455"/>
      <c r="L582" s="455"/>
      <c r="M582" s="1404" t="str">
        <f>+IFERROR(VLOOKUP(G582,'S1&amp;2 Lists'!$C$4:$G$200,3,FALSE),"-")</f>
        <v>-</v>
      </c>
      <c r="N582" s="1404" t="str">
        <f t="shared" si="8"/>
        <v>-</v>
      </c>
      <c r="P582" s="1405">
        <f>ROUND(IF(L582='S1&amp;2 Lists'!$CV$3,K582,IF(L582='S1&amp;2 Lists'!$CV$4,K582/'S1&amp;2 Lists'!$CQ$6,0)),3)</f>
        <v>0</v>
      </c>
      <c r="Q582" s="10" t="s">
        <v>12</v>
      </c>
    </row>
    <row r="583" spans="1:17" s="651" customFormat="1">
      <c r="A583" s="455"/>
      <c r="B583" s="455"/>
      <c r="C583" s="652"/>
      <c r="D583" s="455"/>
      <c r="E583" s="653"/>
      <c r="F583" s="455"/>
      <c r="G583" s="647"/>
      <c r="H583" s="455"/>
      <c r="I583" s="653"/>
      <c r="J583" s="455"/>
      <c r="K583" s="455"/>
      <c r="L583" s="455"/>
      <c r="M583" s="1404" t="str">
        <f>+IFERROR(VLOOKUP(G583,'S1&amp;2 Lists'!$C$4:$G$200,3,FALSE),"-")</f>
        <v>-</v>
      </c>
      <c r="N583" s="1404" t="str">
        <f t="shared" si="8"/>
        <v>-</v>
      </c>
      <c r="P583" s="1405">
        <f>ROUND(IF(L583='S1&amp;2 Lists'!$CV$3,K583,IF(L583='S1&amp;2 Lists'!$CV$4,K583/'S1&amp;2 Lists'!$CQ$6,0)),3)</f>
        <v>0</v>
      </c>
      <c r="Q583" s="10" t="s">
        <v>12</v>
      </c>
    </row>
    <row r="584" spans="1:17" s="651" customFormat="1">
      <c r="A584" s="455"/>
      <c r="B584" s="455"/>
      <c r="C584" s="652"/>
      <c r="D584" s="455"/>
      <c r="E584" s="653"/>
      <c r="F584" s="455"/>
      <c r="G584" s="647"/>
      <c r="H584" s="455"/>
      <c r="I584" s="653"/>
      <c r="J584" s="455"/>
      <c r="K584" s="455"/>
      <c r="L584" s="455"/>
      <c r="M584" s="1404" t="str">
        <f>+IFERROR(VLOOKUP(G584,'S1&amp;2 Lists'!$C$4:$G$200,3,FALSE),"-")</f>
        <v>-</v>
      </c>
      <c r="N584" s="1404" t="str">
        <f t="shared" si="8"/>
        <v>-</v>
      </c>
      <c r="P584" s="1405">
        <f>ROUND(IF(L584='S1&amp;2 Lists'!$CV$3,K584,IF(L584='S1&amp;2 Lists'!$CV$4,K584/'S1&amp;2 Lists'!$CQ$6,0)),3)</f>
        <v>0</v>
      </c>
      <c r="Q584" s="10" t="s">
        <v>12</v>
      </c>
    </row>
    <row r="585" spans="1:17" s="651" customFormat="1">
      <c r="A585" s="455"/>
      <c r="B585" s="455"/>
      <c r="C585" s="652"/>
      <c r="D585" s="455"/>
      <c r="E585" s="653"/>
      <c r="F585" s="455"/>
      <c r="G585" s="647"/>
      <c r="H585" s="455"/>
      <c r="I585" s="653"/>
      <c r="J585" s="455"/>
      <c r="K585" s="455"/>
      <c r="L585" s="455"/>
      <c r="M585" s="1404" t="str">
        <f>+IFERROR(VLOOKUP(G585,'S1&amp;2 Lists'!$C$4:$G$200,3,FALSE),"-")</f>
        <v>-</v>
      </c>
      <c r="N585" s="1404" t="str">
        <f t="shared" si="8"/>
        <v>-</v>
      </c>
      <c r="P585" s="1405">
        <f>ROUND(IF(L585='S1&amp;2 Lists'!$CV$3,K585,IF(L585='S1&amp;2 Lists'!$CV$4,K585/'S1&amp;2 Lists'!$CQ$6,0)),3)</f>
        <v>0</v>
      </c>
      <c r="Q585" s="10" t="s">
        <v>12</v>
      </c>
    </row>
    <row r="586" spans="1:17" s="651" customFormat="1">
      <c r="A586" s="455"/>
      <c r="B586" s="455"/>
      <c r="C586" s="652"/>
      <c r="D586" s="455"/>
      <c r="E586" s="653"/>
      <c r="F586" s="455"/>
      <c r="G586" s="647"/>
      <c r="H586" s="455"/>
      <c r="I586" s="653"/>
      <c r="J586" s="455"/>
      <c r="K586" s="455"/>
      <c r="L586" s="455"/>
      <c r="M586" s="1404" t="str">
        <f>+IFERROR(VLOOKUP(G586,'S1&amp;2 Lists'!$C$4:$G$200,3,FALSE),"-")</f>
        <v>-</v>
      </c>
      <c r="N586" s="1404" t="str">
        <f t="shared" si="8"/>
        <v>-</v>
      </c>
      <c r="P586" s="1405">
        <f>ROUND(IF(L586='S1&amp;2 Lists'!$CV$3,K586,IF(L586='S1&amp;2 Lists'!$CV$4,K586/'S1&amp;2 Lists'!$CQ$6,0)),3)</f>
        <v>0</v>
      </c>
      <c r="Q586" s="10" t="s">
        <v>12</v>
      </c>
    </row>
    <row r="587" spans="1:17" s="651" customFormat="1">
      <c r="A587" s="455"/>
      <c r="B587" s="455"/>
      <c r="C587" s="652"/>
      <c r="D587" s="455"/>
      <c r="E587" s="653"/>
      <c r="F587" s="455"/>
      <c r="G587" s="647"/>
      <c r="H587" s="455"/>
      <c r="I587" s="653"/>
      <c r="J587" s="455"/>
      <c r="K587" s="455"/>
      <c r="L587" s="455"/>
      <c r="M587" s="1404" t="str">
        <f>+IFERROR(VLOOKUP(G587,'S1&amp;2 Lists'!$C$4:$G$200,3,FALSE),"-")</f>
        <v>-</v>
      </c>
      <c r="N587" s="1404" t="str">
        <f t="shared" ref="N587:N650" si="9">+IFERROR(P587*M587,"-")</f>
        <v>-</v>
      </c>
      <c r="P587" s="1405">
        <f>ROUND(IF(L587='S1&amp;2 Lists'!$CV$3,K587,IF(L587='S1&amp;2 Lists'!$CV$4,K587/'S1&amp;2 Lists'!$CQ$6,0)),3)</f>
        <v>0</v>
      </c>
      <c r="Q587" s="10" t="s">
        <v>12</v>
      </c>
    </row>
    <row r="588" spans="1:17" s="651" customFormat="1">
      <c r="A588" s="455"/>
      <c r="B588" s="455"/>
      <c r="C588" s="652"/>
      <c r="D588" s="455"/>
      <c r="E588" s="653"/>
      <c r="F588" s="455"/>
      <c r="G588" s="647"/>
      <c r="H588" s="455"/>
      <c r="I588" s="653"/>
      <c r="J588" s="455"/>
      <c r="K588" s="455"/>
      <c r="L588" s="455"/>
      <c r="M588" s="1404" t="str">
        <f>+IFERROR(VLOOKUP(G588,'S1&amp;2 Lists'!$C$4:$G$200,3,FALSE),"-")</f>
        <v>-</v>
      </c>
      <c r="N588" s="1404" t="str">
        <f t="shared" si="9"/>
        <v>-</v>
      </c>
      <c r="P588" s="1405">
        <f>ROUND(IF(L588='S1&amp;2 Lists'!$CV$3,K588,IF(L588='S1&amp;2 Lists'!$CV$4,K588/'S1&amp;2 Lists'!$CQ$6,0)),3)</f>
        <v>0</v>
      </c>
      <c r="Q588" s="10" t="s">
        <v>12</v>
      </c>
    </row>
    <row r="589" spans="1:17" s="651" customFormat="1">
      <c r="A589" s="455"/>
      <c r="B589" s="455"/>
      <c r="C589" s="652"/>
      <c r="D589" s="455"/>
      <c r="E589" s="653"/>
      <c r="F589" s="455"/>
      <c r="G589" s="647"/>
      <c r="H589" s="455"/>
      <c r="I589" s="653"/>
      <c r="J589" s="455"/>
      <c r="K589" s="455"/>
      <c r="L589" s="455"/>
      <c r="M589" s="1404" t="str">
        <f>+IFERROR(VLOOKUP(G589,'S1&amp;2 Lists'!$C$4:$G$200,3,FALSE),"-")</f>
        <v>-</v>
      </c>
      <c r="N589" s="1404" t="str">
        <f t="shared" si="9"/>
        <v>-</v>
      </c>
      <c r="P589" s="1405">
        <f>ROUND(IF(L589='S1&amp;2 Lists'!$CV$3,K589,IF(L589='S1&amp;2 Lists'!$CV$4,K589/'S1&amp;2 Lists'!$CQ$6,0)),3)</f>
        <v>0</v>
      </c>
      <c r="Q589" s="10" t="s">
        <v>12</v>
      </c>
    </row>
    <row r="590" spans="1:17" s="651" customFormat="1">
      <c r="A590" s="455"/>
      <c r="B590" s="455"/>
      <c r="C590" s="652"/>
      <c r="D590" s="455"/>
      <c r="E590" s="653"/>
      <c r="F590" s="455"/>
      <c r="G590" s="647"/>
      <c r="H590" s="455"/>
      <c r="I590" s="653"/>
      <c r="J590" s="455"/>
      <c r="K590" s="455"/>
      <c r="L590" s="455"/>
      <c r="M590" s="1404" t="str">
        <f>+IFERROR(VLOOKUP(G590,'S1&amp;2 Lists'!$C$4:$G$200,3,FALSE),"-")</f>
        <v>-</v>
      </c>
      <c r="N590" s="1404" t="str">
        <f t="shared" si="9"/>
        <v>-</v>
      </c>
      <c r="P590" s="1405">
        <f>ROUND(IF(L590='S1&amp;2 Lists'!$CV$3,K590,IF(L590='S1&amp;2 Lists'!$CV$4,K590/'S1&amp;2 Lists'!$CQ$6,0)),3)</f>
        <v>0</v>
      </c>
      <c r="Q590" s="10" t="s">
        <v>12</v>
      </c>
    </row>
    <row r="591" spans="1:17" s="651" customFormat="1">
      <c r="A591" s="455"/>
      <c r="B591" s="455"/>
      <c r="C591" s="652"/>
      <c r="D591" s="455"/>
      <c r="E591" s="653"/>
      <c r="F591" s="455"/>
      <c r="G591" s="647"/>
      <c r="H591" s="455"/>
      <c r="I591" s="653"/>
      <c r="J591" s="455"/>
      <c r="K591" s="455"/>
      <c r="L591" s="455"/>
      <c r="M591" s="1404" t="str">
        <f>+IFERROR(VLOOKUP(G591,'S1&amp;2 Lists'!$C$4:$G$200,3,FALSE),"-")</f>
        <v>-</v>
      </c>
      <c r="N591" s="1404" t="str">
        <f t="shared" si="9"/>
        <v>-</v>
      </c>
      <c r="P591" s="1405">
        <f>ROUND(IF(L591='S1&amp;2 Lists'!$CV$3,K591,IF(L591='S1&amp;2 Lists'!$CV$4,K591/'S1&amp;2 Lists'!$CQ$6,0)),3)</f>
        <v>0</v>
      </c>
      <c r="Q591" s="10" t="s">
        <v>12</v>
      </c>
    </row>
    <row r="592" spans="1:17" s="651" customFormat="1">
      <c r="A592" s="455"/>
      <c r="B592" s="455"/>
      <c r="C592" s="652"/>
      <c r="D592" s="455"/>
      <c r="E592" s="653"/>
      <c r="F592" s="455"/>
      <c r="G592" s="647"/>
      <c r="H592" s="455"/>
      <c r="I592" s="653"/>
      <c r="J592" s="455"/>
      <c r="K592" s="455"/>
      <c r="L592" s="455"/>
      <c r="M592" s="1404" t="str">
        <f>+IFERROR(VLOOKUP(G592,'S1&amp;2 Lists'!$C$4:$G$200,3,FALSE),"-")</f>
        <v>-</v>
      </c>
      <c r="N592" s="1404" t="str">
        <f t="shared" si="9"/>
        <v>-</v>
      </c>
      <c r="P592" s="1405">
        <f>ROUND(IF(L592='S1&amp;2 Lists'!$CV$3,K592,IF(L592='S1&amp;2 Lists'!$CV$4,K592/'S1&amp;2 Lists'!$CQ$6,0)),3)</f>
        <v>0</v>
      </c>
      <c r="Q592" s="10" t="s">
        <v>12</v>
      </c>
    </row>
    <row r="593" spans="1:17" s="651" customFormat="1">
      <c r="A593" s="455"/>
      <c r="B593" s="455"/>
      <c r="C593" s="652"/>
      <c r="D593" s="455"/>
      <c r="E593" s="653"/>
      <c r="F593" s="455"/>
      <c r="G593" s="647"/>
      <c r="H593" s="455"/>
      <c r="I593" s="653"/>
      <c r="J593" s="455"/>
      <c r="K593" s="455"/>
      <c r="L593" s="455"/>
      <c r="M593" s="1404" t="str">
        <f>+IFERROR(VLOOKUP(G593,'S1&amp;2 Lists'!$C$4:$G$200,3,FALSE),"-")</f>
        <v>-</v>
      </c>
      <c r="N593" s="1404" t="str">
        <f t="shared" si="9"/>
        <v>-</v>
      </c>
      <c r="P593" s="1405">
        <f>ROUND(IF(L593='S1&amp;2 Lists'!$CV$3,K593,IF(L593='S1&amp;2 Lists'!$CV$4,K593/'S1&amp;2 Lists'!$CQ$6,0)),3)</f>
        <v>0</v>
      </c>
      <c r="Q593" s="10" t="s">
        <v>12</v>
      </c>
    </row>
    <row r="594" spans="1:17" s="651" customFormat="1">
      <c r="A594" s="455"/>
      <c r="B594" s="455"/>
      <c r="C594" s="652"/>
      <c r="D594" s="455"/>
      <c r="E594" s="653"/>
      <c r="F594" s="455"/>
      <c r="G594" s="647"/>
      <c r="H594" s="455"/>
      <c r="I594" s="653"/>
      <c r="J594" s="455"/>
      <c r="K594" s="455"/>
      <c r="L594" s="455"/>
      <c r="M594" s="1404" t="str">
        <f>+IFERROR(VLOOKUP(G594,'S1&amp;2 Lists'!$C$4:$G$200,3,FALSE),"-")</f>
        <v>-</v>
      </c>
      <c r="N594" s="1404" t="str">
        <f t="shared" si="9"/>
        <v>-</v>
      </c>
      <c r="P594" s="1405">
        <f>ROUND(IF(L594='S1&amp;2 Lists'!$CV$3,K594,IF(L594='S1&amp;2 Lists'!$CV$4,K594/'S1&amp;2 Lists'!$CQ$6,0)),3)</f>
        <v>0</v>
      </c>
      <c r="Q594" s="10" t="s">
        <v>12</v>
      </c>
    </row>
    <row r="595" spans="1:17" s="651" customFormat="1">
      <c r="A595" s="455"/>
      <c r="B595" s="455"/>
      <c r="C595" s="652"/>
      <c r="D595" s="455"/>
      <c r="E595" s="653"/>
      <c r="F595" s="455"/>
      <c r="G595" s="647"/>
      <c r="H595" s="455"/>
      <c r="I595" s="653"/>
      <c r="J595" s="455"/>
      <c r="K595" s="455"/>
      <c r="L595" s="455"/>
      <c r="M595" s="1404" t="str">
        <f>+IFERROR(VLOOKUP(G595,'S1&amp;2 Lists'!$C$4:$G$200,3,FALSE),"-")</f>
        <v>-</v>
      </c>
      <c r="N595" s="1404" t="str">
        <f t="shared" si="9"/>
        <v>-</v>
      </c>
      <c r="P595" s="1405">
        <f>ROUND(IF(L595='S1&amp;2 Lists'!$CV$3,K595,IF(L595='S1&amp;2 Lists'!$CV$4,K595/'S1&amp;2 Lists'!$CQ$6,0)),3)</f>
        <v>0</v>
      </c>
      <c r="Q595" s="10" t="s">
        <v>12</v>
      </c>
    </row>
    <row r="596" spans="1:17" s="651" customFormat="1">
      <c r="A596" s="455"/>
      <c r="B596" s="455"/>
      <c r="C596" s="652"/>
      <c r="D596" s="455"/>
      <c r="E596" s="653"/>
      <c r="F596" s="455"/>
      <c r="G596" s="647"/>
      <c r="H596" s="455"/>
      <c r="I596" s="653"/>
      <c r="J596" s="455"/>
      <c r="K596" s="455"/>
      <c r="L596" s="455"/>
      <c r="M596" s="1404" t="str">
        <f>+IFERROR(VLOOKUP(G596,'S1&amp;2 Lists'!$C$4:$G$200,3,FALSE),"-")</f>
        <v>-</v>
      </c>
      <c r="N596" s="1404" t="str">
        <f t="shared" si="9"/>
        <v>-</v>
      </c>
      <c r="P596" s="1405">
        <f>ROUND(IF(L596='S1&amp;2 Lists'!$CV$3,K596,IF(L596='S1&amp;2 Lists'!$CV$4,K596/'S1&amp;2 Lists'!$CQ$6,0)),3)</f>
        <v>0</v>
      </c>
      <c r="Q596" s="10" t="s">
        <v>12</v>
      </c>
    </row>
    <row r="597" spans="1:17" s="651" customFormat="1">
      <c r="A597" s="455"/>
      <c r="B597" s="455"/>
      <c r="C597" s="652"/>
      <c r="D597" s="455"/>
      <c r="E597" s="653"/>
      <c r="F597" s="455"/>
      <c r="G597" s="647"/>
      <c r="H597" s="455"/>
      <c r="I597" s="653"/>
      <c r="J597" s="455"/>
      <c r="K597" s="455"/>
      <c r="L597" s="455"/>
      <c r="M597" s="1404" t="str">
        <f>+IFERROR(VLOOKUP(G597,'S1&amp;2 Lists'!$C$4:$G$200,3,FALSE),"-")</f>
        <v>-</v>
      </c>
      <c r="N597" s="1404" t="str">
        <f t="shared" si="9"/>
        <v>-</v>
      </c>
      <c r="P597" s="1405">
        <f>ROUND(IF(L597='S1&amp;2 Lists'!$CV$3,K597,IF(L597='S1&amp;2 Lists'!$CV$4,K597/'S1&amp;2 Lists'!$CQ$6,0)),3)</f>
        <v>0</v>
      </c>
      <c r="Q597" s="10" t="s">
        <v>12</v>
      </c>
    </row>
    <row r="598" spans="1:17" s="651" customFormat="1">
      <c r="A598" s="455"/>
      <c r="B598" s="455"/>
      <c r="C598" s="652"/>
      <c r="D598" s="455"/>
      <c r="E598" s="653"/>
      <c r="F598" s="455"/>
      <c r="G598" s="647"/>
      <c r="H598" s="455"/>
      <c r="I598" s="653"/>
      <c r="J598" s="455"/>
      <c r="K598" s="455"/>
      <c r="L598" s="455"/>
      <c r="M598" s="1404" t="str">
        <f>+IFERROR(VLOOKUP(G598,'S1&amp;2 Lists'!$C$4:$G$200,3,FALSE),"-")</f>
        <v>-</v>
      </c>
      <c r="N598" s="1404" t="str">
        <f t="shared" si="9"/>
        <v>-</v>
      </c>
      <c r="P598" s="1405">
        <f>ROUND(IF(L598='S1&amp;2 Lists'!$CV$3,K598,IF(L598='S1&amp;2 Lists'!$CV$4,K598/'S1&amp;2 Lists'!$CQ$6,0)),3)</f>
        <v>0</v>
      </c>
      <c r="Q598" s="10" t="s">
        <v>12</v>
      </c>
    </row>
    <row r="599" spans="1:17" s="651" customFormat="1">
      <c r="A599" s="455"/>
      <c r="B599" s="455"/>
      <c r="C599" s="652"/>
      <c r="D599" s="455"/>
      <c r="E599" s="653"/>
      <c r="F599" s="455"/>
      <c r="G599" s="647"/>
      <c r="H599" s="455"/>
      <c r="I599" s="653"/>
      <c r="J599" s="455"/>
      <c r="K599" s="455"/>
      <c r="L599" s="455"/>
      <c r="M599" s="1404" t="str">
        <f>+IFERROR(VLOOKUP(G599,'S1&amp;2 Lists'!$C$4:$G$200,3,FALSE),"-")</f>
        <v>-</v>
      </c>
      <c r="N599" s="1404" t="str">
        <f t="shared" si="9"/>
        <v>-</v>
      </c>
      <c r="P599" s="1405">
        <f>ROUND(IF(L599='S1&amp;2 Lists'!$CV$3,K599,IF(L599='S1&amp;2 Lists'!$CV$4,K599/'S1&amp;2 Lists'!$CQ$6,0)),3)</f>
        <v>0</v>
      </c>
      <c r="Q599" s="10" t="s">
        <v>12</v>
      </c>
    </row>
    <row r="600" spans="1:17" s="651" customFormat="1">
      <c r="A600" s="455"/>
      <c r="B600" s="455"/>
      <c r="C600" s="652"/>
      <c r="D600" s="455"/>
      <c r="E600" s="653"/>
      <c r="F600" s="455"/>
      <c r="G600" s="647"/>
      <c r="H600" s="455"/>
      <c r="I600" s="653"/>
      <c r="J600" s="455"/>
      <c r="K600" s="455"/>
      <c r="L600" s="455"/>
      <c r="M600" s="1404" t="str">
        <f>+IFERROR(VLOOKUP(G600,'S1&amp;2 Lists'!$C$4:$G$200,3,FALSE),"-")</f>
        <v>-</v>
      </c>
      <c r="N600" s="1404" t="str">
        <f t="shared" si="9"/>
        <v>-</v>
      </c>
      <c r="P600" s="1405">
        <f>ROUND(IF(L600='S1&amp;2 Lists'!$CV$3,K600,IF(L600='S1&amp;2 Lists'!$CV$4,K600/'S1&amp;2 Lists'!$CQ$6,0)),3)</f>
        <v>0</v>
      </c>
      <c r="Q600" s="10" t="s">
        <v>12</v>
      </c>
    </row>
    <row r="601" spans="1:17" s="651" customFormat="1">
      <c r="A601" s="455"/>
      <c r="B601" s="455"/>
      <c r="C601" s="652"/>
      <c r="D601" s="455"/>
      <c r="E601" s="653"/>
      <c r="F601" s="455"/>
      <c r="G601" s="647"/>
      <c r="H601" s="455"/>
      <c r="I601" s="653"/>
      <c r="J601" s="455"/>
      <c r="K601" s="455"/>
      <c r="L601" s="455"/>
      <c r="M601" s="1404" t="str">
        <f>+IFERROR(VLOOKUP(G601,'S1&amp;2 Lists'!$C$4:$G$200,3,FALSE),"-")</f>
        <v>-</v>
      </c>
      <c r="N601" s="1404" t="str">
        <f t="shared" si="9"/>
        <v>-</v>
      </c>
      <c r="P601" s="1405">
        <f>ROUND(IF(L601='S1&amp;2 Lists'!$CV$3,K601,IF(L601='S1&amp;2 Lists'!$CV$4,K601/'S1&amp;2 Lists'!$CQ$6,0)),3)</f>
        <v>0</v>
      </c>
      <c r="Q601" s="10" t="s">
        <v>12</v>
      </c>
    </row>
    <row r="602" spans="1:17" s="651" customFormat="1">
      <c r="A602" s="455"/>
      <c r="B602" s="455"/>
      <c r="C602" s="652"/>
      <c r="D602" s="455"/>
      <c r="E602" s="653"/>
      <c r="F602" s="455"/>
      <c r="G602" s="647"/>
      <c r="H602" s="455"/>
      <c r="I602" s="653"/>
      <c r="J602" s="455"/>
      <c r="K602" s="455"/>
      <c r="L602" s="455"/>
      <c r="M602" s="1404" t="str">
        <f>+IFERROR(VLOOKUP(G602,'S1&amp;2 Lists'!$C$4:$G$200,3,FALSE),"-")</f>
        <v>-</v>
      </c>
      <c r="N602" s="1404" t="str">
        <f t="shared" si="9"/>
        <v>-</v>
      </c>
      <c r="P602" s="1405">
        <f>ROUND(IF(L602='S1&amp;2 Lists'!$CV$3,K602,IF(L602='S1&amp;2 Lists'!$CV$4,K602/'S1&amp;2 Lists'!$CQ$6,0)),3)</f>
        <v>0</v>
      </c>
      <c r="Q602" s="10" t="s">
        <v>12</v>
      </c>
    </row>
    <row r="603" spans="1:17" s="651" customFormat="1">
      <c r="A603" s="455"/>
      <c r="B603" s="455"/>
      <c r="C603" s="652"/>
      <c r="D603" s="455"/>
      <c r="E603" s="653"/>
      <c r="F603" s="455"/>
      <c r="G603" s="647"/>
      <c r="H603" s="455"/>
      <c r="I603" s="653"/>
      <c r="J603" s="455"/>
      <c r="K603" s="455"/>
      <c r="L603" s="455"/>
      <c r="M603" s="1404" t="str">
        <f>+IFERROR(VLOOKUP(G603,'S1&amp;2 Lists'!$C$4:$G$200,3,FALSE),"-")</f>
        <v>-</v>
      </c>
      <c r="N603" s="1404" t="str">
        <f t="shared" si="9"/>
        <v>-</v>
      </c>
      <c r="P603" s="1405">
        <f>ROUND(IF(L603='S1&amp;2 Lists'!$CV$3,K603,IF(L603='S1&amp;2 Lists'!$CV$4,K603/'S1&amp;2 Lists'!$CQ$6,0)),3)</f>
        <v>0</v>
      </c>
      <c r="Q603" s="10" t="s">
        <v>12</v>
      </c>
    </row>
    <row r="604" spans="1:17" s="651" customFormat="1">
      <c r="A604" s="455"/>
      <c r="B604" s="455"/>
      <c r="C604" s="652"/>
      <c r="D604" s="455"/>
      <c r="E604" s="653"/>
      <c r="F604" s="455"/>
      <c r="G604" s="647"/>
      <c r="H604" s="455"/>
      <c r="I604" s="653"/>
      <c r="J604" s="455"/>
      <c r="K604" s="455"/>
      <c r="L604" s="455"/>
      <c r="M604" s="1404" t="str">
        <f>+IFERROR(VLOOKUP(G604,'S1&amp;2 Lists'!$C$4:$G$200,3,FALSE),"-")</f>
        <v>-</v>
      </c>
      <c r="N604" s="1404" t="str">
        <f t="shared" si="9"/>
        <v>-</v>
      </c>
      <c r="P604" s="1405">
        <f>ROUND(IF(L604='S1&amp;2 Lists'!$CV$3,K604,IF(L604='S1&amp;2 Lists'!$CV$4,K604/'S1&amp;2 Lists'!$CQ$6,0)),3)</f>
        <v>0</v>
      </c>
      <c r="Q604" s="10" t="s">
        <v>12</v>
      </c>
    </row>
    <row r="605" spans="1:17" s="651" customFormat="1">
      <c r="A605" s="455"/>
      <c r="B605" s="455"/>
      <c r="C605" s="652"/>
      <c r="D605" s="455"/>
      <c r="E605" s="653"/>
      <c r="F605" s="455"/>
      <c r="G605" s="647"/>
      <c r="H605" s="455"/>
      <c r="I605" s="653"/>
      <c r="J605" s="455"/>
      <c r="K605" s="455"/>
      <c r="L605" s="455"/>
      <c r="M605" s="1404" t="str">
        <f>+IFERROR(VLOOKUP(G605,'S1&amp;2 Lists'!$C$4:$G$200,3,FALSE),"-")</f>
        <v>-</v>
      </c>
      <c r="N605" s="1404" t="str">
        <f t="shared" si="9"/>
        <v>-</v>
      </c>
      <c r="P605" s="1405">
        <f>ROUND(IF(L605='S1&amp;2 Lists'!$CV$3,K605,IF(L605='S1&amp;2 Lists'!$CV$4,K605/'S1&amp;2 Lists'!$CQ$6,0)),3)</f>
        <v>0</v>
      </c>
      <c r="Q605" s="10" t="s">
        <v>12</v>
      </c>
    </row>
    <row r="606" spans="1:17" s="651" customFormat="1">
      <c r="A606" s="455"/>
      <c r="B606" s="455"/>
      <c r="C606" s="652"/>
      <c r="D606" s="455"/>
      <c r="E606" s="653"/>
      <c r="F606" s="455"/>
      <c r="G606" s="647"/>
      <c r="H606" s="455"/>
      <c r="I606" s="653"/>
      <c r="J606" s="455"/>
      <c r="K606" s="455"/>
      <c r="L606" s="455"/>
      <c r="M606" s="1404" t="str">
        <f>+IFERROR(VLOOKUP(G606,'S1&amp;2 Lists'!$C$4:$G$200,3,FALSE),"-")</f>
        <v>-</v>
      </c>
      <c r="N606" s="1404" t="str">
        <f t="shared" si="9"/>
        <v>-</v>
      </c>
      <c r="P606" s="1405">
        <f>ROUND(IF(L606='S1&amp;2 Lists'!$CV$3,K606,IF(L606='S1&amp;2 Lists'!$CV$4,K606/'S1&amp;2 Lists'!$CQ$6,0)),3)</f>
        <v>0</v>
      </c>
      <c r="Q606" s="10" t="s">
        <v>12</v>
      </c>
    </row>
    <row r="607" spans="1:17" s="651" customFormat="1">
      <c r="A607" s="455"/>
      <c r="B607" s="455"/>
      <c r="C607" s="652"/>
      <c r="D607" s="455"/>
      <c r="E607" s="653"/>
      <c r="F607" s="455"/>
      <c r="G607" s="647"/>
      <c r="H607" s="455"/>
      <c r="I607" s="653"/>
      <c r="J607" s="455"/>
      <c r="K607" s="455"/>
      <c r="L607" s="455"/>
      <c r="M607" s="1404" t="str">
        <f>+IFERROR(VLOOKUP(G607,'S1&amp;2 Lists'!$C$4:$G$200,3,FALSE),"-")</f>
        <v>-</v>
      </c>
      <c r="N607" s="1404" t="str">
        <f t="shared" si="9"/>
        <v>-</v>
      </c>
      <c r="P607" s="1405">
        <f>ROUND(IF(L607='S1&amp;2 Lists'!$CV$3,K607,IF(L607='S1&amp;2 Lists'!$CV$4,K607/'S1&amp;2 Lists'!$CQ$6,0)),3)</f>
        <v>0</v>
      </c>
      <c r="Q607" s="10" t="s">
        <v>12</v>
      </c>
    </row>
    <row r="608" spans="1:17" s="651" customFormat="1">
      <c r="A608" s="455"/>
      <c r="B608" s="455"/>
      <c r="C608" s="652"/>
      <c r="D608" s="455"/>
      <c r="E608" s="653"/>
      <c r="F608" s="455"/>
      <c r="G608" s="647"/>
      <c r="H608" s="455"/>
      <c r="I608" s="653"/>
      <c r="J608" s="455"/>
      <c r="K608" s="455"/>
      <c r="L608" s="455"/>
      <c r="M608" s="1404" t="str">
        <f>+IFERROR(VLOOKUP(G608,'S1&amp;2 Lists'!$C$4:$G$200,3,FALSE),"-")</f>
        <v>-</v>
      </c>
      <c r="N608" s="1404" t="str">
        <f t="shared" si="9"/>
        <v>-</v>
      </c>
      <c r="P608" s="1405">
        <f>ROUND(IF(L608='S1&amp;2 Lists'!$CV$3,K608,IF(L608='S1&amp;2 Lists'!$CV$4,K608/'S1&amp;2 Lists'!$CQ$6,0)),3)</f>
        <v>0</v>
      </c>
      <c r="Q608" s="10" t="s">
        <v>12</v>
      </c>
    </row>
    <row r="609" spans="1:17" s="651" customFormat="1">
      <c r="A609" s="455"/>
      <c r="B609" s="455"/>
      <c r="C609" s="652"/>
      <c r="D609" s="455"/>
      <c r="E609" s="653"/>
      <c r="F609" s="455"/>
      <c r="G609" s="647"/>
      <c r="H609" s="455"/>
      <c r="I609" s="653"/>
      <c r="J609" s="455"/>
      <c r="K609" s="455"/>
      <c r="L609" s="455"/>
      <c r="M609" s="1404" t="str">
        <f>+IFERROR(VLOOKUP(G609,'S1&amp;2 Lists'!$C$4:$G$200,3,FALSE),"-")</f>
        <v>-</v>
      </c>
      <c r="N609" s="1404" t="str">
        <f t="shared" si="9"/>
        <v>-</v>
      </c>
      <c r="P609" s="1405">
        <f>ROUND(IF(L609='S1&amp;2 Lists'!$CV$3,K609,IF(L609='S1&amp;2 Lists'!$CV$4,K609/'S1&amp;2 Lists'!$CQ$6,0)),3)</f>
        <v>0</v>
      </c>
      <c r="Q609" s="10" t="s">
        <v>12</v>
      </c>
    </row>
    <row r="610" spans="1:17" s="651" customFormat="1">
      <c r="A610" s="455"/>
      <c r="B610" s="455"/>
      <c r="C610" s="652"/>
      <c r="D610" s="455"/>
      <c r="E610" s="653"/>
      <c r="F610" s="455"/>
      <c r="G610" s="647"/>
      <c r="H610" s="455"/>
      <c r="I610" s="653"/>
      <c r="J610" s="455"/>
      <c r="K610" s="455"/>
      <c r="L610" s="455"/>
      <c r="M610" s="1404" t="str">
        <f>+IFERROR(VLOOKUP(G610,'S1&amp;2 Lists'!$C$4:$G$200,3,FALSE),"-")</f>
        <v>-</v>
      </c>
      <c r="N610" s="1404" t="str">
        <f t="shared" si="9"/>
        <v>-</v>
      </c>
      <c r="P610" s="1405">
        <f>ROUND(IF(L610='S1&amp;2 Lists'!$CV$3,K610,IF(L610='S1&amp;2 Lists'!$CV$4,K610/'S1&amp;2 Lists'!$CQ$6,0)),3)</f>
        <v>0</v>
      </c>
      <c r="Q610" s="10" t="s">
        <v>12</v>
      </c>
    </row>
    <row r="611" spans="1:17" s="651" customFormat="1">
      <c r="A611" s="455"/>
      <c r="B611" s="455"/>
      <c r="C611" s="652"/>
      <c r="D611" s="455"/>
      <c r="E611" s="653"/>
      <c r="F611" s="455"/>
      <c r="G611" s="647"/>
      <c r="H611" s="455"/>
      <c r="I611" s="653"/>
      <c r="J611" s="455"/>
      <c r="K611" s="455"/>
      <c r="L611" s="455"/>
      <c r="M611" s="1404" t="str">
        <f>+IFERROR(VLOOKUP(G611,'S1&amp;2 Lists'!$C$4:$G$200,3,FALSE),"-")</f>
        <v>-</v>
      </c>
      <c r="N611" s="1404" t="str">
        <f t="shared" si="9"/>
        <v>-</v>
      </c>
      <c r="P611" s="1405">
        <f>ROUND(IF(L611='S1&amp;2 Lists'!$CV$3,K611,IF(L611='S1&amp;2 Lists'!$CV$4,K611/'S1&amp;2 Lists'!$CQ$6,0)),3)</f>
        <v>0</v>
      </c>
      <c r="Q611" s="10" t="s">
        <v>12</v>
      </c>
    </row>
    <row r="612" spans="1:17" s="651" customFormat="1">
      <c r="A612" s="455"/>
      <c r="B612" s="455"/>
      <c r="C612" s="652"/>
      <c r="D612" s="455"/>
      <c r="E612" s="653"/>
      <c r="F612" s="455"/>
      <c r="G612" s="647"/>
      <c r="H612" s="455"/>
      <c r="I612" s="653"/>
      <c r="J612" s="455"/>
      <c r="K612" s="455"/>
      <c r="L612" s="455"/>
      <c r="M612" s="1404" t="str">
        <f>+IFERROR(VLOOKUP(G612,'S1&amp;2 Lists'!$C$4:$G$200,3,FALSE),"-")</f>
        <v>-</v>
      </c>
      <c r="N612" s="1404" t="str">
        <f t="shared" si="9"/>
        <v>-</v>
      </c>
      <c r="P612" s="1405">
        <f>ROUND(IF(L612='S1&amp;2 Lists'!$CV$3,K612,IF(L612='S1&amp;2 Lists'!$CV$4,K612/'S1&amp;2 Lists'!$CQ$6,0)),3)</f>
        <v>0</v>
      </c>
      <c r="Q612" s="10" t="s">
        <v>12</v>
      </c>
    </row>
    <row r="613" spans="1:17" s="651" customFormat="1">
      <c r="A613" s="455"/>
      <c r="B613" s="455"/>
      <c r="C613" s="652"/>
      <c r="D613" s="455"/>
      <c r="E613" s="653"/>
      <c r="F613" s="455"/>
      <c r="G613" s="647"/>
      <c r="H613" s="455"/>
      <c r="I613" s="653"/>
      <c r="J613" s="455"/>
      <c r="K613" s="455"/>
      <c r="L613" s="455"/>
      <c r="M613" s="1404" t="str">
        <f>+IFERROR(VLOOKUP(G613,'S1&amp;2 Lists'!$C$4:$G$200,3,FALSE),"-")</f>
        <v>-</v>
      </c>
      <c r="N613" s="1404" t="str">
        <f t="shared" si="9"/>
        <v>-</v>
      </c>
      <c r="P613" s="1405">
        <f>ROUND(IF(L613='S1&amp;2 Lists'!$CV$3,K613,IF(L613='S1&amp;2 Lists'!$CV$4,K613/'S1&amp;2 Lists'!$CQ$6,0)),3)</f>
        <v>0</v>
      </c>
      <c r="Q613" s="10" t="s">
        <v>12</v>
      </c>
    </row>
    <row r="614" spans="1:17" s="651" customFormat="1">
      <c r="A614" s="455"/>
      <c r="B614" s="455"/>
      <c r="C614" s="652"/>
      <c r="D614" s="455"/>
      <c r="E614" s="653"/>
      <c r="F614" s="455"/>
      <c r="G614" s="647"/>
      <c r="H614" s="455"/>
      <c r="I614" s="653"/>
      <c r="J614" s="455"/>
      <c r="K614" s="455"/>
      <c r="L614" s="455"/>
      <c r="M614" s="1404" t="str">
        <f>+IFERROR(VLOOKUP(G614,'S1&amp;2 Lists'!$C$4:$G$200,3,FALSE),"-")</f>
        <v>-</v>
      </c>
      <c r="N614" s="1404" t="str">
        <f t="shared" si="9"/>
        <v>-</v>
      </c>
      <c r="P614" s="1405">
        <f>ROUND(IF(L614='S1&amp;2 Lists'!$CV$3,K614,IF(L614='S1&amp;2 Lists'!$CV$4,K614/'S1&amp;2 Lists'!$CQ$6,0)),3)</f>
        <v>0</v>
      </c>
      <c r="Q614" s="10" t="s">
        <v>12</v>
      </c>
    </row>
    <row r="615" spans="1:17" s="651" customFormat="1">
      <c r="A615" s="455"/>
      <c r="B615" s="455"/>
      <c r="C615" s="652"/>
      <c r="D615" s="455"/>
      <c r="E615" s="653"/>
      <c r="F615" s="455"/>
      <c r="G615" s="647"/>
      <c r="H615" s="455"/>
      <c r="I615" s="653"/>
      <c r="J615" s="455"/>
      <c r="K615" s="455"/>
      <c r="L615" s="455"/>
      <c r="M615" s="1404" t="str">
        <f>+IFERROR(VLOOKUP(G615,'S1&amp;2 Lists'!$C$4:$G$200,3,FALSE),"-")</f>
        <v>-</v>
      </c>
      <c r="N615" s="1404" t="str">
        <f t="shared" si="9"/>
        <v>-</v>
      </c>
      <c r="P615" s="1405">
        <f>ROUND(IF(L615='S1&amp;2 Lists'!$CV$3,K615,IF(L615='S1&amp;2 Lists'!$CV$4,K615/'S1&amp;2 Lists'!$CQ$6,0)),3)</f>
        <v>0</v>
      </c>
      <c r="Q615" s="10" t="s">
        <v>12</v>
      </c>
    </row>
    <row r="616" spans="1:17" s="651" customFormat="1">
      <c r="A616" s="455"/>
      <c r="B616" s="455"/>
      <c r="C616" s="652"/>
      <c r="D616" s="455"/>
      <c r="E616" s="653"/>
      <c r="F616" s="455"/>
      <c r="G616" s="647"/>
      <c r="H616" s="455"/>
      <c r="I616" s="653"/>
      <c r="J616" s="455"/>
      <c r="K616" s="455"/>
      <c r="L616" s="455"/>
      <c r="M616" s="1404" t="str">
        <f>+IFERROR(VLOOKUP(G616,'S1&amp;2 Lists'!$C$4:$G$200,3,FALSE),"-")</f>
        <v>-</v>
      </c>
      <c r="N616" s="1404" t="str">
        <f t="shared" si="9"/>
        <v>-</v>
      </c>
      <c r="P616" s="1405">
        <f>ROUND(IF(L616='S1&amp;2 Lists'!$CV$3,K616,IF(L616='S1&amp;2 Lists'!$CV$4,K616/'S1&amp;2 Lists'!$CQ$6,0)),3)</f>
        <v>0</v>
      </c>
      <c r="Q616" s="10" t="s">
        <v>12</v>
      </c>
    </row>
    <row r="617" spans="1:17" s="651" customFormat="1">
      <c r="A617" s="455"/>
      <c r="B617" s="455"/>
      <c r="C617" s="652"/>
      <c r="D617" s="455"/>
      <c r="E617" s="653"/>
      <c r="F617" s="455"/>
      <c r="G617" s="647"/>
      <c r="H617" s="455"/>
      <c r="I617" s="653"/>
      <c r="J617" s="455"/>
      <c r="K617" s="455"/>
      <c r="L617" s="455"/>
      <c r="M617" s="1404" t="str">
        <f>+IFERROR(VLOOKUP(G617,'S1&amp;2 Lists'!$C$4:$G$200,3,FALSE),"-")</f>
        <v>-</v>
      </c>
      <c r="N617" s="1404" t="str">
        <f t="shared" si="9"/>
        <v>-</v>
      </c>
      <c r="P617" s="1405">
        <f>ROUND(IF(L617='S1&amp;2 Lists'!$CV$3,K617,IF(L617='S1&amp;2 Lists'!$CV$4,K617/'S1&amp;2 Lists'!$CQ$6,0)),3)</f>
        <v>0</v>
      </c>
      <c r="Q617" s="10" t="s">
        <v>12</v>
      </c>
    </row>
    <row r="618" spans="1:17" s="651" customFormat="1">
      <c r="A618" s="455"/>
      <c r="B618" s="455"/>
      <c r="C618" s="652"/>
      <c r="D618" s="455"/>
      <c r="E618" s="653"/>
      <c r="F618" s="455"/>
      <c r="G618" s="647"/>
      <c r="H618" s="455"/>
      <c r="I618" s="653"/>
      <c r="J618" s="455"/>
      <c r="K618" s="455"/>
      <c r="L618" s="455"/>
      <c r="M618" s="1404" t="str">
        <f>+IFERROR(VLOOKUP(G618,'S1&amp;2 Lists'!$C$4:$G$200,3,FALSE),"-")</f>
        <v>-</v>
      </c>
      <c r="N618" s="1404" t="str">
        <f t="shared" si="9"/>
        <v>-</v>
      </c>
      <c r="P618" s="1405">
        <f>ROUND(IF(L618='S1&amp;2 Lists'!$CV$3,K618,IF(L618='S1&amp;2 Lists'!$CV$4,K618/'S1&amp;2 Lists'!$CQ$6,0)),3)</f>
        <v>0</v>
      </c>
      <c r="Q618" s="10" t="s">
        <v>12</v>
      </c>
    </row>
    <row r="619" spans="1:17" s="651" customFormat="1">
      <c r="A619" s="455"/>
      <c r="B619" s="455"/>
      <c r="C619" s="652"/>
      <c r="D619" s="455"/>
      <c r="E619" s="653"/>
      <c r="F619" s="455"/>
      <c r="G619" s="647"/>
      <c r="H619" s="455"/>
      <c r="I619" s="653"/>
      <c r="J619" s="455"/>
      <c r="K619" s="455"/>
      <c r="L619" s="455"/>
      <c r="M619" s="1404" t="str">
        <f>+IFERROR(VLOOKUP(G619,'S1&amp;2 Lists'!$C$4:$G$200,3,FALSE),"-")</f>
        <v>-</v>
      </c>
      <c r="N619" s="1404" t="str">
        <f t="shared" si="9"/>
        <v>-</v>
      </c>
      <c r="P619" s="1405">
        <f>ROUND(IF(L619='S1&amp;2 Lists'!$CV$3,K619,IF(L619='S1&amp;2 Lists'!$CV$4,K619/'S1&amp;2 Lists'!$CQ$6,0)),3)</f>
        <v>0</v>
      </c>
      <c r="Q619" s="10" t="s">
        <v>12</v>
      </c>
    </row>
    <row r="620" spans="1:17" s="651" customFormat="1">
      <c r="A620" s="455"/>
      <c r="B620" s="455"/>
      <c r="C620" s="652"/>
      <c r="D620" s="455"/>
      <c r="E620" s="653"/>
      <c r="F620" s="455"/>
      <c r="G620" s="647"/>
      <c r="H620" s="455"/>
      <c r="I620" s="653"/>
      <c r="J620" s="455"/>
      <c r="K620" s="455"/>
      <c r="L620" s="455"/>
      <c r="M620" s="1404" t="str">
        <f>+IFERROR(VLOOKUP(G620,'S1&amp;2 Lists'!$C$4:$G$200,3,FALSE),"-")</f>
        <v>-</v>
      </c>
      <c r="N620" s="1404" t="str">
        <f t="shared" si="9"/>
        <v>-</v>
      </c>
      <c r="P620" s="1405">
        <f>ROUND(IF(L620='S1&amp;2 Lists'!$CV$3,K620,IF(L620='S1&amp;2 Lists'!$CV$4,K620/'S1&amp;2 Lists'!$CQ$6,0)),3)</f>
        <v>0</v>
      </c>
      <c r="Q620" s="10" t="s">
        <v>12</v>
      </c>
    </row>
    <row r="621" spans="1:17" s="651" customFormat="1">
      <c r="A621" s="455"/>
      <c r="B621" s="455"/>
      <c r="C621" s="652"/>
      <c r="D621" s="455"/>
      <c r="E621" s="653"/>
      <c r="F621" s="455"/>
      <c r="G621" s="647"/>
      <c r="H621" s="455"/>
      <c r="I621" s="653"/>
      <c r="J621" s="455"/>
      <c r="K621" s="455"/>
      <c r="L621" s="455"/>
      <c r="M621" s="1404" t="str">
        <f>+IFERROR(VLOOKUP(G621,'S1&amp;2 Lists'!$C$4:$G$200,3,FALSE),"-")</f>
        <v>-</v>
      </c>
      <c r="N621" s="1404" t="str">
        <f t="shared" si="9"/>
        <v>-</v>
      </c>
      <c r="P621" s="1405">
        <f>ROUND(IF(L621='S1&amp;2 Lists'!$CV$3,K621,IF(L621='S1&amp;2 Lists'!$CV$4,K621/'S1&amp;2 Lists'!$CQ$6,0)),3)</f>
        <v>0</v>
      </c>
      <c r="Q621" s="10" t="s">
        <v>12</v>
      </c>
    </row>
    <row r="622" spans="1:17" s="651" customFormat="1">
      <c r="A622" s="455"/>
      <c r="B622" s="455"/>
      <c r="C622" s="652"/>
      <c r="D622" s="455"/>
      <c r="E622" s="653"/>
      <c r="F622" s="455"/>
      <c r="G622" s="647"/>
      <c r="H622" s="455"/>
      <c r="I622" s="653"/>
      <c r="J622" s="455"/>
      <c r="K622" s="455"/>
      <c r="L622" s="455"/>
      <c r="M622" s="1404" t="str">
        <f>+IFERROR(VLOOKUP(G622,'S1&amp;2 Lists'!$C$4:$G$200,3,FALSE),"-")</f>
        <v>-</v>
      </c>
      <c r="N622" s="1404" t="str">
        <f t="shared" si="9"/>
        <v>-</v>
      </c>
      <c r="P622" s="1405">
        <f>ROUND(IF(L622='S1&amp;2 Lists'!$CV$3,K622,IF(L622='S1&amp;2 Lists'!$CV$4,K622/'S1&amp;2 Lists'!$CQ$6,0)),3)</f>
        <v>0</v>
      </c>
      <c r="Q622" s="10" t="s">
        <v>12</v>
      </c>
    </row>
    <row r="623" spans="1:17" s="651" customFormat="1">
      <c r="A623" s="455"/>
      <c r="B623" s="455"/>
      <c r="C623" s="652"/>
      <c r="D623" s="455"/>
      <c r="E623" s="653"/>
      <c r="F623" s="455"/>
      <c r="G623" s="647"/>
      <c r="H623" s="455"/>
      <c r="I623" s="653"/>
      <c r="J623" s="455"/>
      <c r="K623" s="455"/>
      <c r="L623" s="455"/>
      <c r="M623" s="1404" t="str">
        <f>+IFERROR(VLOOKUP(G623,'S1&amp;2 Lists'!$C$4:$G$200,3,FALSE),"-")</f>
        <v>-</v>
      </c>
      <c r="N623" s="1404" t="str">
        <f t="shared" si="9"/>
        <v>-</v>
      </c>
      <c r="P623" s="1405">
        <f>ROUND(IF(L623='S1&amp;2 Lists'!$CV$3,K623,IF(L623='S1&amp;2 Lists'!$CV$4,K623/'S1&amp;2 Lists'!$CQ$6,0)),3)</f>
        <v>0</v>
      </c>
      <c r="Q623" s="10" t="s">
        <v>12</v>
      </c>
    </row>
    <row r="624" spans="1:17" s="651" customFormat="1">
      <c r="A624" s="455"/>
      <c r="B624" s="455"/>
      <c r="C624" s="652"/>
      <c r="D624" s="455"/>
      <c r="E624" s="653"/>
      <c r="F624" s="455"/>
      <c r="G624" s="647"/>
      <c r="H624" s="455"/>
      <c r="I624" s="653"/>
      <c r="J624" s="455"/>
      <c r="K624" s="455"/>
      <c r="L624" s="455"/>
      <c r="M624" s="1404" t="str">
        <f>+IFERROR(VLOOKUP(G624,'S1&amp;2 Lists'!$C$4:$G$200,3,FALSE),"-")</f>
        <v>-</v>
      </c>
      <c r="N624" s="1404" t="str">
        <f t="shared" si="9"/>
        <v>-</v>
      </c>
      <c r="P624" s="1405">
        <f>ROUND(IF(L624='S1&amp;2 Lists'!$CV$3,K624,IF(L624='S1&amp;2 Lists'!$CV$4,K624/'S1&amp;2 Lists'!$CQ$6,0)),3)</f>
        <v>0</v>
      </c>
      <c r="Q624" s="10" t="s">
        <v>12</v>
      </c>
    </row>
    <row r="625" spans="1:17" s="651" customFormat="1">
      <c r="A625" s="455"/>
      <c r="B625" s="455"/>
      <c r="C625" s="652"/>
      <c r="D625" s="455"/>
      <c r="E625" s="653"/>
      <c r="F625" s="455"/>
      <c r="G625" s="647"/>
      <c r="H625" s="455"/>
      <c r="I625" s="653"/>
      <c r="J625" s="455"/>
      <c r="K625" s="455"/>
      <c r="L625" s="455"/>
      <c r="M625" s="1404" t="str">
        <f>+IFERROR(VLOOKUP(G625,'S1&amp;2 Lists'!$C$4:$G$200,3,FALSE),"-")</f>
        <v>-</v>
      </c>
      <c r="N625" s="1404" t="str">
        <f t="shared" si="9"/>
        <v>-</v>
      </c>
      <c r="P625" s="1405">
        <f>ROUND(IF(L625='S1&amp;2 Lists'!$CV$3,K625,IF(L625='S1&amp;2 Lists'!$CV$4,K625/'S1&amp;2 Lists'!$CQ$6,0)),3)</f>
        <v>0</v>
      </c>
      <c r="Q625" s="10" t="s">
        <v>12</v>
      </c>
    </row>
    <row r="626" spans="1:17" s="651" customFormat="1">
      <c r="A626" s="455"/>
      <c r="B626" s="455"/>
      <c r="C626" s="652"/>
      <c r="D626" s="455"/>
      <c r="E626" s="653"/>
      <c r="F626" s="455"/>
      <c r="G626" s="647"/>
      <c r="H626" s="455"/>
      <c r="I626" s="653"/>
      <c r="J626" s="455"/>
      <c r="K626" s="455"/>
      <c r="L626" s="455"/>
      <c r="M626" s="1404" t="str">
        <f>+IFERROR(VLOOKUP(G626,'S1&amp;2 Lists'!$C$4:$G$200,3,FALSE),"-")</f>
        <v>-</v>
      </c>
      <c r="N626" s="1404" t="str">
        <f t="shared" si="9"/>
        <v>-</v>
      </c>
      <c r="P626" s="1405">
        <f>ROUND(IF(L626='S1&amp;2 Lists'!$CV$3,K626,IF(L626='S1&amp;2 Lists'!$CV$4,K626/'S1&amp;2 Lists'!$CQ$6,0)),3)</f>
        <v>0</v>
      </c>
      <c r="Q626" s="10" t="s">
        <v>12</v>
      </c>
    </row>
    <row r="627" spans="1:17" s="651" customFormat="1">
      <c r="A627" s="455"/>
      <c r="B627" s="455"/>
      <c r="C627" s="652"/>
      <c r="D627" s="455"/>
      <c r="E627" s="653"/>
      <c r="F627" s="455"/>
      <c r="G627" s="647"/>
      <c r="H627" s="455"/>
      <c r="I627" s="653"/>
      <c r="J627" s="455"/>
      <c r="K627" s="455"/>
      <c r="L627" s="455"/>
      <c r="M627" s="1404" t="str">
        <f>+IFERROR(VLOOKUP(G627,'S1&amp;2 Lists'!$C$4:$G$200,3,FALSE),"-")</f>
        <v>-</v>
      </c>
      <c r="N627" s="1404" t="str">
        <f t="shared" si="9"/>
        <v>-</v>
      </c>
      <c r="P627" s="1405">
        <f>ROUND(IF(L627='S1&amp;2 Lists'!$CV$3,K627,IF(L627='S1&amp;2 Lists'!$CV$4,K627/'S1&amp;2 Lists'!$CQ$6,0)),3)</f>
        <v>0</v>
      </c>
      <c r="Q627" s="10" t="s">
        <v>12</v>
      </c>
    </row>
    <row r="628" spans="1:17" s="651" customFormat="1">
      <c r="A628" s="455"/>
      <c r="B628" s="455"/>
      <c r="C628" s="652"/>
      <c r="D628" s="455"/>
      <c r="E628" s="653"/>
      <c r="F628" s="455"/>
      <c r="G628" s="647"/>
      <c r="H628" s="455"/>
      <c r="I628" s="653"/>
      <c r="J628" s="455"/>
      <c r="K628" s="455"/>
      <c r="L628" s="455"/>
      <c r="M628" s="1404" t="str">
        <f>+IFERROR(VLOOKUP(G628,'S1&amp;2 Lists'!$C$4:$G$200,3,FALSE),"-")</f>
        <v>-</v>
      </c>
      <c r="N628" s="1404" t="str">
        <f t="shared" si="9"/>
        <v>-</v>
      </c>
      <c r="P628" s="1405">
        <f>ROUND(IF(L628='S1&amp;2 Lists'!$CV$3,K628,IF(L628='S1&amp;2 Lists'!$CV$4,K628/'S1&amp;2 Lists'!$CQ$6,0)),3)</f>
        <v>0</v>
      </c>
      <c r="Q628" s="10" t="s">
        <v>12</v>
      </c>
    </row>
    <row r="629" spans="1:17" s="651" customFormat="1">
      <c r="A629" s="455"/>
      <c r="B629" s="455"/>
      <c r="C629" s="652"/>
      <c r="D629" s="455"/>
      <c r="E629" s="653"/>
      <c r="F629" s="455"/>
      <c r="G629" s="647"/>
      <c r="H629" s="455"/>
      <c r="I629" s="653"/>
      <c r="J629" s="455"/>
      <c r="K629" s="455"/>
      <c r="L629" s="455"/>
      <c r="M629" s="1404" t="str">
        <f>+IFERROR(VLOOKUP(G629,'S1&amp;2 Lists'!$C$4:$G$200,3,FALSE),"-")</f>
        <v>-</v>
      </c>
      <c r="N629" s="1404" t="str">
        <f t="shared" si="9"/>
        <v>-</v>
      </c>
      <c r="P629" s="1405">
        <f>ROUND(IF(L629='S1&amp;2 Lists'!$CV$3,K629,IF(L629='S1&amp;2 Lists'!$CV$4,K629/'S1&amp;2 Lists'!$CQ$6,0)),3)</f>
        <v>0</v>
      </c>
      <c r="Q629" s="10" t="s">
        <v>12</v>
      </c>
    </row>
    <row r="630" spans="1:17" s="651" customFormat="1">
      <c r="A630" s="455"/>
      <c r="B630" s="455"/>
      <c r="C630" s="652"/>
      <c r="D630" s="455"/>
      <c r="E630" s="653"/>
      <c r="F630" s="455"/>
      <c r="G630" s="647"/>
      <c r="H630" s="455"/>
      <c r="I630" s="653"/>
      <c r="J630" s="455"/>
      <c r="K630" s="455"/>
      <c r="L630" s="455"/>
      <c r="M630" s="1404" t="str">
        <f>+IFERROR(VLOOKUP(G630,'S1&amp;2 Lists'!$C$4:$G$200,3,FALSE),"-")</f>
        <v>-</v>
      </c>
      <c r="N630" s="1404" t="str">
        <f t="shared" si="9"/>
        <v>-</v>
      </c>
      <c r="P630" s="1405">
        <f>ROUND(IF(L630='S1&amp;2 Lists'!$CV$3,K630,IF(L630='S1&amp;2 Lists'!$CV$4,K630/'S1&amp;2 Lists'!$CQ$6,0)),3)</f>
        <v>0</v>
      </c>
      <c r="Q630" s="10" t="s">
        <v>12</v>
      </c>
    </row>
    <row r="631" spans="1:17" s="651" customFormat="1">
      <c r="A631" s="455"/>
      <c r="B631" s="455"/>
      <c r="C631" s="652"/>
      <c r="D631" s="455"/>
      <c r="E631" s="653"/>
      <c r="F631" s="455"/>
      <c r="G631" s="647"/>
      <c r="H631" s="455"/>
      <c r="I631" s="653"/>
      <c r="J631" s="455"/>
      <c r="K631" s="455"/>
      <c r="L631" s="455"/>
      <c r="M631" s="1404" t="str">
        <f>+IFERROR(VLOOKUP(G631,'S1&amp;2 Lists'!$C$4:$G$200,3,FALSE),"-")</f>
        <v>-</v>
      </c>
      <c r="N631" s="1404" t="str">
        <f t="shared" si="9"/>
        <v>-</v>
      </c>
      <c r="P631" s="1405">
        <f>ROUND(IF(L631='S1&amp;2 Lists'!$CV$3,K631,IF(L631='S1&amp;2 Lists'!$CV$4,K631/'S1&amp;2 Lists'!$CQ$6,0)),3)</f>
        <v>0</v>
      </c>
      <c r="Q631" s="10" t="s">
        <v>12</v>
      </c>
    </row>
    <row r="632" spans="1:17" s="651" customFormat="1">
      <c r="A632" s="455"/>
      <c r="B632" s="455"/>
      <c r="C632" s="652"/>
      <c r="D632" s="455"/>
      <c r="E632" s="653"/>
      <c r="F632" s="455"/>
      <c r="G632" s="647"/>
      <c r="H632" s="455"/>
      <c r="I632" s="653"/>
      <c r="J632" s="455"/>
      <c r="K632" s="455"/>
      <c r="L632" s="455"/>
      <c r="M632" s="1404" t="str">
        <f>+IFERROR(VLOOKUP(G632,'S1&amp;2 Lists'!$C$4:$G$200,3,FALSE),"-")</f>
        <v>-</v>
      </c>
      <c r="N632" s="1404" t="str">
        <f t="shared" si="9"/>
        <v>-</v>
      </c>
      <c r="P632" s="1405">
        <f>ROUND(IF(L632='S1&amp;2 Lists'!$CV$3,K632,IF(L632='S1&amp;2 Lists'!$CV$4,K632/'S1&amp;2 Lists'!$CQ$6,0)),3)</f>
        <v>0</v>
      </c>
      <c r="Q632" s="10" t="s">
        <v>12</v>
      </c>
    </row>
    <row r="633" spans="1:17" s="651" customFormat="1">
      <c r="A633" s="455"/>
      <c r="B633" s="455"/>
      <c r="C633" s="652"/>
      <c r="D633" s="455"/>
      <c r="E633" s="653"/>
      <c r="F633" s="455"/>
      <c r="G633" s="647"/>
      <c r="H633" s="455"/>
      <c r="I633" s="653"/>
      <c r="J633" s="455"/>
      <c r="K633" s="455"/>
      <c r="L633" s="455"/>
      <c r="M633" s="1404" t="str">
        <f>+IFERROR(VLOOKUP(G633,'S1&amp;2 Lists'!$C$4:$G$200,3,FALSE),"-")</f>
        <v>-</v>
      </c>
      <c r="N633" s="1404" t="str">
        <f t="shared" si="9"/>
        <v>-</v>
      </c>
      <c r="P633" s="1405">
        <f>ROUND(IF(L633='S1&amp;2 Lists'!$CV$3,K633,IF(L633='S1&amp;2 Lists'!$CV$4,K633/'S1&amp;2 Lists'!$CQ$6,0)),3)</f>
        <v>0</v>
      </c>
      <c r="Q633" s="10" t="s">
        <v>12</v>
      </c>
    </row>
    <row r="634" spans="1:17" s="651" customFormat="1">
      <c r="A634" s="455"/>
      <c r="B634" s="455"/>
      <c r="C634" s="652"/>
      <c r="D634" s="455"/>
      <c r="E634" s="653"/>
      <c r="F634" s="455"/>
      <c r="G634" s="647"/>
      <c r="H634" s="455"/>
      <c r="I634" s="653"/>
      <c r="J634" s="455"/>
      <c r="K634" s="455"/>
      <c r="L634" s="455"/>
      <c r="M634" s="1404" t="str">
        <f>+IFERROR(VLOOKUP(G634,'S1&amp;2 Lists'!$C$4:$G$200,3,FALSE),"-")</f>
        <v>-</v>
      </c>
      <c r="N634" s="1404" t="str">
        <f t="shared" si="9"/>
        <v>-</v>
      </c>
      <c r="P634" s="1405">
        <f>ROUND(IF(L634='S1&amp;2 Lists'!$CV$3,K634,IF(L634='S1&amp;2 Lists'!$CV$4,K634/'S1&amp;2 Lists'!$CQ$6,0)),3)</f>
        <v>0</v>
      </c>
      <c r="Q634" s="10" t="s">
        <v>12</v>
      </c>
    </row>
    <row r="635" spans="1:17" s="651" customFormat="1">
      <c r="A635" s="455"/>
      <c r="B635" s="455"/>
      <c r="C635" s="652"/>
      <c r="D635" s="455"/>
      <c r="E635" s="653"/>
      <c r="F635" s="455"/>
      <c r="G635" s="647"/>
      <c r="H635" s="455"/>
      <c r="I635" s="653"/>
      <c r="J635" s="455"/>
      <c r="K635" s="455"/>
      <c r="L635" s="455"/>
      <c r="M635" s="1404" t="str">
        <f>+IFERROR(VLOOKUP(G635,'S1&amp;2 Lists'!$C$4:$G$200,3,FALSE),"-")</f>
        <v>-</v>
      </c>
      <c r="N635" s="1404" t="str">
        <f t="shared" si="9"/>
        <v>-</v>
      </c>
      <c r="P635" s="1405">
        <f>ROUND(IF(L635='S1&amp;2 Lists'!$CV$3,K635,IF(L635='S1&amp;2 Lists'!$CV$4,K635/'S1&amp;2 Lists'!$CQ$6,0)),3)</f>
        <v>0</v>
      </c>
      <c r="Q635" s="10" t="s">
        <v>12</v>
      </c>
    </row>
    <row r="636" spans="1:17" s="651" customFormat="1">
      <c r="A636" s="455"/>
      <c r="B636" s="455"/>
      <c r="C636" s="652"/>
      <c r="D636" s="455"/>
      <c r="E636" s="653"/>
      <c r="F636" s="455"/>
      <c r="G636" s="647"/>
      <c r="H636" s="455"/>
      <c r="I636" s="653"/>
      <c r="J636" s="455"/>
      <c r="K636" s="455"/>
      <c r="L636" s="455"/>
      <c r="M636" s="1404" t="str">
        <f>+IFERROR(VLOOKUP(G636,'S1&amp;2 Lists'!$C$4:$G$200,3,FALSE),"-")</f>
        <v>-</v>
      </c>
      <c r="N636" s="1404" t="str">
        <f t="shared" si="9"/>
        <v>-</v>
      </c>
      <c r="P636" s="1405">
        <f>ROUND(IF(L636='S1&amp;2 Lists'!$CV$3,K636,IF(L636='S1&amp;2 Lists'!$CV$4,K636/'S1&amp;2 Lists'!$CQ$6,0)),3)</f>
        <v>0</v>
      </c>
      <c r="Q636" s="10" t="s">
        <v>12</v>
      </c>
    </row>
    <row r="637" spans="1:17" s="651" customFormat="1">
      <c r="A637" s="455"/>
      <c r="B637" s="455"/>
      <c r="C637" s="652"/>
      <c r="D637" s="455"/>
      <c r="E637" s="653"/>
      <c r="F637" s="455"/>
      <c r="G637" s="647"/>
      <c r="H637" s="455"/>
      <c r="I637" s="653"/>
      <c r="J637" s="455"/>
      <c r="K637" s="455"/>
      <c r="L637" s="455"/>
      <c r="M637" s="1404" t="str">
        <f>+IFERROR(VLOOKUP(G637,'S1&amp;2 Lists'!$C$4:$G$200,3,FALSE),"-")</f>
        <v>-</v>
      </c>
      <c r="N637" s="1404" t="str">
        <f t="shared" si="9"/>
        <v>-</v>
      </c>
      <c r="P637" s="1405">
        <f>ROUND(IF(L637='S1&amp;2 Lists'!$CV$3,K637,IF(L637='S1&amp;2 Lists'!$CV$4,K637/'S1&amp;2 Lists'!$CQ$6,0)),3)</f>
        <v>0</v>
      </c>
      <c r="Q637" s="10" t="s">
        <v>12</v>
      </c>
    </row>
    <row r="638" spans="1:17" s="651" customFormat="1">
      <c r="A638" s="455"/>
      <c r="B638" s="455"/>
      <c r="C638" s="652"/>
      <c r="D638" s="455"/>
      <c r="E638" s="653"/>
      <c r="F638" s="455"/>
      <c r="G638" s="647"/>
      <c r="H638" s="455"/>
      <c r="I638" s="653"/>
      <c r="J638" s="455"/>
      <c r="K638" s="455"/>
      <c r="L638" s="455"/>
      <c r="M638" s="1404" t="str">
        <f>+IFERROR(VLOOKUP(G638,'S1&amp;2 Lists'!$C$4:$G$200,3,FALSE),"-")</f>
        <v>-</v>
      </c>
      <c r="N638" s="1404" t="str">
        <f t="shared" si="9"/>
        <v>-</v>
      </c>
      <c r="P638" s="1405">
        <f>ROUND(IF(L638='S1&amp;2 Lists'!$CV$3,K638,IF(L638='S1&amp;2 Lists'!$CV$4,K638/'S1&amp;2 Lists'!$CQ$6,0)),3)</f>
        <v>0</v>
      </c>
      <c r="Q638" s="10" t="s">
        <v>12</v>
      </c>
    </row>
    <row r="639" spans="1:17" s="651" customFormat="1">
      <c r="A639" s="455"/>
      <c r="B639" s="455"/>
      <c r="C639" s="652"/>
      <c r="D639" s="455"/>
      <c r="E639" s="653"/>
      <c r="F639" s="455"/>
      <c r="G639" s="647"/>
      <c r="H639" s="455"/>
      <c r="I639" s="653"/>
      <c r="J639" s="455"/>
      <c r="K639" s="455"/>
      <c r="L639" s="455"/>
      <c r="M639" s="1404" t="str">
        <f>+IFERROR(VLOOKUP(G639,'S1&amp;2 Lists'!$C$4:$G$200,3,FALSE),"-")</f>
        <v>-</v>
      </c>
      <c r="N639" s="1404" t="str">
        <f t="shared" si="9"/>
        <v>-</v>
      </c>
      <c r="P639" s="1405">
        <f>ROUND(IF(L639='S1&amp;2 Lists'!$CV$3,K639,IF(L639='S1&amp;2 Lists'!$CV$4,K639/'S1&amp;2 Lists'!$CQ$6,0)),3)</f>
        <v>0</v>
      </c>
      <c r="Q639" s="10" t="s">
        <v>12</v>
      </c>
    </row>
    <row r="640" spans="1:17" s="651" customFormat="1">
      <c r="A640" s="455"/>
      <c r="B640" s="455"/>
      <c r="C640" s="652"/>
      <c r="D640" s="455"/>
      <c r="E640" s="653"/>
      <c r="F640" s="455"/>
      <c r="G640" s="647"/>
      <c r="H640" s="455"/>
      <c r="I640" s="653"/>
      <c r="J640" s="455"/>
      <c r="K640" s="455"/>
      <c r="L640" s="455"/>
      <c r="M640" s="1404" t="str">
        <f>+IFERROR(VLOOKUP(G640,'S1&amp;2 Lists'!$C$4:$G$200,3,FALSE),"-")</f>
        <v>-</v>
      </c>
      <c r="N640" s="1404" t="str">
        <f t="shared" si="9"/>
        <v>-</v>
      </c>
      <c r="P640" s="1405">
        <f>ROUND(IF(L640='S1&amp;2 Lists'!$CV$3,K640,IF(L640='S1&amp;2 Lists'!$CV$4,K640/'S1&amp;2 Lists'!$CQ$6,0)),3)</f>
        <v>0</v>
      </c>
      <c r="Q640" s="10" t="s">
        <v>12</v>
      </c>
    </row>
    <row r="641" spans="1:17" s="651" customFormat="1">
      <c r="A641" s="455"/>
      <c r="B641" s="455"/>
      <c r="C641" s="652"/>
      <c r="D641" s="455"/>
      <c r="E641" s="653"/>
      <c r="F641" s="455"/>
      <c r="G641" s="647"/>
      <c r="H641" s="455"/>
      <c r="I641" s="653"/>
      <c r="J641" s="455"/>
      <c r="K641" s="455"/>
      <c r="L641" s="455"/>
      <c r="M641" s="1404" t="str">
        <f>+IFERROR(VLOOKUP(G641,'S1&amp;2 Lists'!$C$4:$G$200,3,FALSE),"-")</f>
        <v>-</v>
      </c>
      <c r="N641" s="1404" t="str">
        <f t="shared" si="9"/>
        <v>-</v>
      </c>
      <c r="P641" s="1405">
        <f>ROUND(IF(L641='S1&amp;2 Lists'!$CV$3,K641,IF(L641='S1&amp;2 Lists'!$CV$4,K641/'S1&amp;2 Lists'!$CQ$6,0)),3)</f>
        <v>0</v>
      </c>
      <c r="Q641" s="10" t="s">
        <v>12</v>
      </c>
    </row>
    <row r="642" spans="1:17" s="651" customFormat="1">
      <c r="A642" s="455"/>
      <c r="B642" s="455"/>
      <c r="C642" s="652"/>
      <c r="D642" s="455"/>
      <c r="E642" s="653"/>
      <c r="F642" s="455"/>
      <c r="G642" s="647"/>
      <c r="H642" s="455"/>
      <c r="I642" s="653"/>
      <c r="J642" s="455"/>
      <c r="K642" s="455"/>
      <c r="L642" s="455"/>
      <c r="M642" s="1404" t="str">
        <f>+IFERROR(VLOOKUP(G642,'S1&amp;2 Lists'!$C$4:$G$200,3,FALSE),"-")</f>
        <v>-</v>
      </c>
      <c r="N642" s="1404" t="str">
        <f t="shared" si="9"/>
        <v>-</v>
      </c>
      <c r="P642" s="1405">
        <f>ROUND(IF(L642='S1&amp;2 Lists'!$CV$3,K642,IF(L642='S1&amp;2 Lists'!$CV$4,K642/'S1&amp;2 Lists'!$CQ$6,0)),3)</f>
        <v>0</v>
      </c>
      <c r="Q642" s="10" t="s">
        <v>12</v>
      </c>
    </row>
    <row r="643" spans="1:17" s="651" customFormat="1">
      <c r="A643" s="455"/>
      <c r="B643" s="455"/>
      <c r="C643" s="655"/>
      <c r="D643" s="455"/>
      <c r="E643" s="653"/>
      <c r="F643" s="455"/>
      <c r="G643" s="647"/>
      <c r="H643" s="455"/>
      <c r="I643" s="653"/>
      <c r="J643" s="455"/>
      <c r="K643" s="455"/>
      <c r="L643" s="455"/>
      <c r="M643" s="1404" t="str">
        <f>+IFERROR(VLOOKUP(G643,'S1&amp;2 Lists'!$C$4:$G$200,3,FALSE),"-")</f>
        <v>-</v>
      </c>
      <c r="N643" s="1404" t="str">
        <f t="shared" si="9"/>
        <v>-</v>
      </c>
      <c r="P643" s="1405">
        <f>ROUND(IF(L643='S1&amp;2 Lists'!$CV$3,K643,IF(L643='S1&amp;2 Lists'!$CV$4,K643/'S1&amp;2 Lists'!$CQ$6,0)),3)</f>
        <v>0</v>
      </c>
      <c r="Q643" s="10" t="s">
        <v>12</v>
      </c>
    </row>
    <row r="644" spans="1:17" s="651" customFormat="1">
      <c r="A644" s="455"/>
      <c r="B644" s="455"/>
      <c r="C644" s="655"/>
      <c r="D644" s="455"/>
      <c r="E644" s="653"/>
      <c r="F644" s="455"/>
      <c r="G644" s="647"/>
      <c r="H644" s="455"/>
      <c r="I644" s="653"/>
      <c r="J644" s="455"/>
      <c r="K644" s="455"/>
      <c r="L644" s="455"/>
      <c r="M644" s="1404" t="str">
        <f>+IFERROR(VLOOKUP(G644,'S1&amp;2 Lists'!$C$4:$G$200,3,FALSE),"-")</f>
        <v>-</v>
      </c>
      <c r="N644" s="1404" t="str">
        <f t="shared" si="9"/>
        <v>-</v>
      </c>
      <c r="P644" s="1405">
        <f>ROUND(IF(L644='S1&amp;2 Lists'!$CV$3,K644,IF(L644='S1&amp;2 Lists'!$CV$4,K644/'S1&amp;2 Lists'!$CQ$6,0)),3)</f>
        <v>0</v>
      </c>
      <c r="Q644" s="10" t="s">
        <v>12</v>
      </c>
    </row>
    <row r="645" spans="1:17" s="651" customFormat="1">
      <c r="A645" s="455"/>
      <c r="B645" s="455"/>
      <c r="C645" s="655"/>
      <c r="D645" s="455"/>
      <c r="E645" s="653"/>
      <c r="F645" s="455"/>
      <c r="G645" s="647"/>
      <c r="H645" s="455"/>
      <c r="I645" s="653"/>
      <c r="J645" s="455"/>
      <c r="K645" s="455"/>
      <c r="L645" s="455"/>
      <c r="M645" s="1404" t="str">
        <f>+IFERROR(VLOOKUP(G645,'S1&amp;2 Lists'!$C$4:$G$200,3,FALSE),"-")</f>
        <v>-</v>
      </c>
      <c r="N645" s="1404" t="str">
        <f t="shared" si="9"/>
        <v>-</v>
      </c>
      <c r="P645" s="1405">
        <f>ROUND(IF(L645='S1&amp;2 Lists'!$CV$3,K645,IF(L645='S1&amp;2 Lists'!$CV$4,K645/'S1&amp;2 Lists'!$CQ$6,0)),3)</f>
        <v>0</v>
      </c>
      <c r="Q645" s="10" t="s">
        <v>12</v>
      </c>
    </row>
    <row r="646" spans="1:17" s="651" customFormat="1">
      <c r="A646" s="455"/>
      <c r="B646" s="455"/>
      <c r="C646" s="655"/>
      <c r="D646" s="455"/>
      <c r="E646" s="653"/>
      <c r="F646" s="455"/>
      <c r="G646" s="647"/>
      <c r="H646" s="455"/>
      <c r="I646" s="653"/>
      <c r="J646" s="455"/>
      <c r="K646" s="455"/>
      <c r="L646" s="455"/>
      <c r="M646" s="1404" t="str">
        <f>+IFERROR(VLOOKUP(G646,'S1&amp;2 Lists'!$C$4:$G$200,3,FALSE),"-")</f>
        <v>-</v>
      </c>
      <c r="N646" s="1404" t="str">
        <f t="shared" si="9"/>
        <v>-</v>
      </c>
      <c r="P646" s="1405">
        <f>ROUND(IF(L646='S1&amp;2 Lists'!$CV$3,K646,IF(L646='S1&amp;2 Lists'!$CV$4,K646/'S1&amp;2 Lists'!$CQ$6,0)),3)</f>
        <v>0</v>
      </c>
      <c r="Q646" s="10" t="s">
        <v>12</v>
      </c>
    </row>
    <row r="647" spans="1:17" s="651" customFormat="1">
      <c r="A647" s="455"/>
      <c r="B647" s="455"/>
      <c r="C647" s="655"/>
      <c r="D647" s="455"/>
      <c r="E647" s="653"/>
      <c r="F647" s="455"/>
      <c r="G647" s="647"/>
      <c r="H647" s="455"/>
      <c r="I647" s="653"/>
      <c r="J647" s="455"/>
      <c r="K647" s="455"/>
      <c r="L647" s="455"/>
      <c r="M647" s="1404" t="str">
        <f>+IFERROR(VLOOKUP(G647,'S1&amp;2 Lists'!$C$4:$G$200,3,FALSE),"-")</f>
        <v>-</v>
      </c>
      <c r="N647" s="1404" t="str">
        <f t="shared" si="9"/>
        <v>-</v>
      </c>
      <c r="P647" s="1405">
        <f>ROUND(IF(L647='S1&amp;2 Lists'!$CV$3,K647,IF(L647='S1&amp;2 Lists'!$CV$4,K647/'S1&amp;2 Lists'!$CQ$6,0)),3)</f>
        <v>0</v>
      </c>
      <c r="Q647" s="10" t="s">
        <v>12</v>
      </c>
    </row>
    <row r="648" spans="1:17" s="651" customFormat="1">
      <c r="A648" s="455"/>
      <c r="B648" s="455"/>
      <c r="C648" s="655"/>
      <c r="D648" s="455"/>
      <c r="E648" s="653"/>
      <c r="F648" s="455"/>
      <c r="G648" s="647"/>
      <c r="H648" s="455"/>
      <c r="I648" s="653"/>
      <c r="J648" s="455"/>
      <c r="K648" s="455"/>
      <c r="L648" s="455"/>
      <c r="M648" s="1404" t="str">
        <f>+IFERROR(VLOOKUP(G648,'S1&amp;2 Lists'!$C$4:$G$200,3,FALSE),"-")</f>
        <v>-</v>
      </c>
      <c r="N648" s="1404" t="str">
        <f t="shared" si="9"/>
        <v>-</v>
      </c>
      <c r="P648" s="1405">
        <f>ROUND(IF(L648='S1&amp;2 Lists'!$CV$3,K648,IF(L648='S1&amp;2 Lists'!$CV$4,K648/'S1&amp;2 Lists'!$CQ$6,0)),3)</f>
        <v>0</v>
      </c>
      <c r="Q648" s="10" t="s">
        <v>12</v>
      </c>
    </row>
    <row r="649" spans="1:17" s="651" customFormat="1">
      <c r="A649" s="455"/>
      <c r="B649" s="455"/>
      <c r="C649" s="655"/>
      <c r="D649" s="455"/>
      <c r="E649" s="653"/>
      <c r="F649" s="455"/>
      <c r="G649" s="647"/>
      <c r="H649" s="455"/>
      <c r="I649" s="653"/>
      <c r="J649" s="455"/>
      <c r="K649" s="455"/>
      <c r="L649" s="455"/>
      <c r="M649" s="1404" t="str">
        <f>+IFERROR(VLOOKUP(G649,'S1&amp;2 Lists'!$C$4:$G$200,3,FALSE),"-")</f>
        <v>-</v>
      </c>
      <c r="N649" s="1404" t="str">
        <f t="shared" si="9"/>
        <v>-</v>
      </c>
      <c r="P649" s="1405">
        <f>ROUND(IF(L649='S1&amp;2 Lists'!$CV$3,K649,IF(L649='S1&amp;2 Lists'!$CV$4,K649/'S1&amp;2 Lists'!$CQ$6,0)),3)</f>
        <v>0</v>
      </c>
      <c r="Q649" s="10" t="s">
        <v>12</v>
      </c>
    </row>
    <row r="650" spans="1:17" s="651" customFormat="1">
      <c r="A650" s="455"/>
      <c r="B650" s="455"/>
      <c r="C650" s="655"/>
      <c r="D650" s="455"/>
      <c r="E650" s="653"/>
      <c r="F650" s="455"/>
      <c r="G650" s="647"/>
      <c r="H650" s="455"/>
      <c r="I650" s="653"/>
      <c r="J650" s="455"/>
      <c r="K650" s="455"/>
      <c r="L650" s="455"/>
      <c r="M650" s="1404" t="str">
        <f>+IFERROR(VLOOKUP(G650,'S1&amp;2 Lists'!$C$4:$G$200,3,FALSE),"-")</f>
        <v>-</v>
      </c>
      <c r="N650" s="1404" t="str">
        <f t="shared" si="9"/>
        <v>-</v>
      </c>
      <c r="P650" s="1405">
        <f>ROUND(IF(L650='S1&amp;2 Lists'!$CV$3,K650,IF(L650='S1&amp;2 Lists'!$CV$4,K650/'S1&amp;2 Lists'!$CQ$6,0)),3)</f>
        <v>0</v>
      </c>
      <c r="Q650" s="10" t="s">
        <v>12</v>
      </c>
    </row>
    <row r="651" spans="1:17" s="651" customFormat="1">
      <c r="A651" s="455"/>
      <c r="B651" s="455"/>
      <c r="C651" s="655"/>
      <c r="D651" s="455"/>
      <c r="E651" s="653"/>
      <c r="F651" s="455"/>
      <c r="G651" s="647"/>
      <c r="H651" s="455"/>
      <c r="I651" s="653"/>
      <c r="J651" s="455"/>
      <c r="K651" s="455"/>
      <c r="L651" s="455"/>
      <c r="M651" s="1404" t="str">
        <f>+IFERROR(VLOOKUP(G651,'S1&amp;2 Lists'!$C$4:$G$200,3,FALSE),"-")</f>
        <v>-</v>
      </c>
      <c r="N651" s="1404" t="str">
        <f t="shared" ref="N651:N654" si="10">+IFERROR(P651*M651,"-")</f>
        <v>-</v>
      </c>
      <c r="P651" s="1405">
        <f>ROUND(IF(L651='S1&amp;2 Lists'!$CV$3,K651,IF(L651='S1&amp;2 Lists'!$CV$4,K651/'S1&amp;2 Lists'!$CQ$6,0)),3)</f>
        <v>0</v>
      </c>
      <c r="Q651" s="10" t="s">
        <v>12</v>
      </c>
    </row>
    <row r="652" spans="1:17" s="651" customFormat="1">
      <c r="A652" s="455"/>
      <c r="B652" s="455"/>
      <c r="C652" s="655"/>
      <c r="D652" s="455"/>
      <c r="E652" s="653"/>
      <c r="F652" s="455"/>
      <c r="G652" s="647"/>
      <c r="H652" s="455"/>
      <c r="I652" s="653"/>
      <c r="J652" s="455"/>
      <c r="K652" s="455"/>
      <c r="L652" s="455"/>
      <c r="M652" s="1404" t="str">
        <f>+IFERROR(VLOOKUP(G652,'S1&amp;2 Lists'!$C$4:$G$200,3,FALSE),"-")</f>
        <v>-</v>
      </c>
      <c r="N652" s="1404" t="str">
        <f t="shared" si="10"/>
        <v>-</v>
      </c>
      <c r="P652" s="1405">
        <f>ROUND(IF(L652='S1&amp;2 Lists'!$CV$3,K652,IF(L652='S1&amp;2 Lists'!$CV$4,K652/'S1&amp;2 Lists'!$CQ$6,0)),3)</f>
        <v>0</v>
      </c>
      <c r="Q652" s="10" t="s">
        <v>12</v>
      </c>
    </row>
    <row r="653" spans="1:17" s="651" customFormat="1">
      <c r="A653" s="455"/>
      <c r="B653" s="455"/>
      <c r="C653" s="652"/>
      <c r="D653" s="455"/>
      <c r="E653" s="653"/>
      <c r="F653" s="455"/>
      <c r="G653" s="647"/>
      <c r="H653" s="455"/>
      <c r="I653" s="653"/>
      <c r="J653" s="455"/>
      <c r="K653" s="455"/>
      <c r="L653" s="455"/>
      <c r="M653" s="1404" t="str">
        <f>+IFERROR(VLOOKUP(G653,'S1&amp;2 Lists'!$C$4:$G$200,3,FALSE),"-")</f>
        <v>-</v>
      </c>
      <c r="N653" s="1404" t="str">
        <f t="shared" si="10"/>
        <v>-</v>
      </c>
      <c r="P653" s="1405">
        <f>ROUND(IF(L653='S1&amp;2 Lists'!$CV$3,K653,IF(L653='S1&amp;2 Lists'!$CV$4,K653/'S1&amp;2 Lists'!$CQ$6,0)),3)</f>
        <v>0</v>
      </c>
      <c r="Q653" s="10" t="s">
        <v>12</v>
      </c>
    </row>
    <row r="654" spans="1:17" s="651" customFormat="1">
      <c r="A654" s="455"/>
      <c r="B654" s="455"/>
      <c r="C654" s="652"/>
      <c r="D654" s="455"/>
      <c r="E654" s="653"/>
      <c r="F654" s="455"/>
      <c r="G654" s="647"/>
      <c r="H654" s="455"/>
      <c r="I654" s="653"/>
      <c r="J654" s="455"/>
      <c r="K654" s="455"/>
      <c r="L654" s="455"/>
      <c r="M654" s="1404" t="str">
        <f>+IFERROR(VLOOKUP(G654,'S1&amp;2 Lists'!$C$4:$G$200,3,FALSE),"-")</f>
        <v>-</v>
      </c>
      <c r="N654" s="1404" t="str">
        <f t="shared" si="10"/>
        <v>-</v>
      </c>
      <c r="P654" s="1405">
        <f>ROUND(IF(L654='S1&amp;2 Lists'!$CV$3,K654,IF(L654='S1&amp;2 Lists'!$CV$4,K654/'S1&amp;2 Lists'!$CQ$6,0)),3)</f>
        <v>0</v>
      </c>
      <c r="Q654" s="10" t="s">
        <v>12</v>
      </c>
    </row>
  </sheetData>
  <sheetProtection algorithmName="SHA-512" hashValue="amrNkUxfhTDHP0WKyJtYpEsdUtfzBk1clymWTbhi9qJqq/4NXAtpaetUxZNHxgeO7JX5aHWsTj6w8kHuYT2nwA==" saltValue="TL69bS+4sLq4Qhgg6NHHQA==" spinCount="100000" sheet="1" objects="1" scenarios="1"/>
  <mergeCells count="14">
    <mergeCell ref="N8:N9"/>
    <mergeCell ref="A5:G5"/>
    <mergeCell ref="A6:G6"/>
    <mergeCell ref="A8:A9"/>
    <mergeCell ref="B8:B9"/>
    <mergeCell ref="C8:C9"/>
    <mergeCell ref="D8:E8"/>
    <mergeCell ref="F8:F9"/>
    <mergeCell ref="G8:G9"/>
    <mergeCell ref="H8:H9"/>
    <mergeCell ref="I8:I9"/>
    <mergeCell ref="J8:J9"/>
    <mergeCell ref="K8:L8"/>
    <mergeCell ref="M8:M9"/>
  </mergeCells>
  <conditionalFormatting sqref="P10:Q654">
    <cfRule type="expression" dxfId="6" priority="1">
      <formula>$C$21&lt;&gt;$B$6</formula>
    </cfRule>
  </conditionalFormatting>
  <dataValidations count="4">
    <dataValidation type="list" operator="greaterThan" allowBlank="1" showInputMessage="1" showErrorMessage="1" sqref="F53:F55" xr:uid="{79895FC2-D551-4102-9FA6-762E91D6E0B8}">
      <formula1>$CW$3:$CW$4</formula1>
    </dataValidation>
    <dataValidation operator="greaterThan" allowBlank="1" showInputMessage="1" showErrorMessage="1" sqref="E10:E654" xr:uid="{48820F61-E141-4A25-A51D-0C5D9AE835B4}"/>
    <dataValidation type="decimal" operator="greaterThan" allowBlank="1" showInputMessage="1" showErrorMessage="1" sqref="K10:K654" xr:uid="{FB05A903-9D2B-4C0C-B643-C7070E368C12}">
      <formula1>0</formula1>
    </dataValidation>
    <dataValidation type="list" allowBlank="1" showInputMessage="1" showErrorMessage="1" sqref="I10:I654 J47:J654" xr:uid="{F01625E1-3402-45B2-B4C0-53F66FC1826B}">
      <formula1>"Yes,No"</formula1>
    </dataValidation>
  </dataValidations>
  <hyperlinks>
    <hyperlink ref="K1" location="'Scope 1 and 2 Data'!C187" display="Go back to Scope 1 and 2 Data" xr:uid="{04024574-3AC6-4C7E-8DBB-CBE1FFAC0C44}"/>
  </hyperlinks>
  <pageMargins left="0.7" right="0.7" top="0.79166666666666663" bottom="0.75" header="0.3" footer="0.3"/>
  <pageSetup paperSize="9" scale="25" orientation="landscape" horizontalDpi="1200" verticalDpi="1200" r:id="rId1"/>
  <headerFooter>
    <oddHeader xml:space="preserve">&amp;L&amp;G&amp;R&amp;"-,Negrita"&amp;8
Herramienta para el cálculo de la huella de carbono en hospitales&amp;"-,Normal"
</oddHeader>
  </headerFooter>
  <colBreaks count="1" manualBreakCount="1">
    <brk id="17" max="1048575" man="1"/>
  </colBreaks>
  <drawing r:id="rId2"/>
  <legacyDrawingHF r:id="rId3"/>
  <extLst>
    <ext xmlns:x14="http://schemas.microsoft.com/office/spreadsheetml/2009/9/main" uri="{CCE6A557-97BC-4b89-ADB6-D9C93CAAB3DF}">
      <x14:dataValidations xmlns:xm="http://schemas.microsoft.com/office/excel/2006/main" count="4">
        <x14:dataValidation type="list" allowBlank="1" showInputMessage="1" showErrorMessage="1" xr:uid="{DF045453-BE49-43DD-BDB7-8230FE3866E0}">
          <x14:formula1>
            <xm:f>'S1&amp;2 Lists'!$CM$3:$CM$4</xm:f>
          </x14:formula1>
          <xm:sqref>J10:J46</xm:sqref>
        </x14:dataValidation>
        <x14:dataValidation type="list" operator="greaterThan" allowBlank="1" showInputMessage="1" showErrorMessage="1" xr:uid="{5CCA0E11-A141-4497-B3C0-D9496550AB30}">
          <x14:formula1>
            <xm:f>'S1&amp;2 Lists'!$CV$3:$CV$4</xm:f>
          </x14:formula1>
          <xm:sqref>C53:D55 L10:L654</xm:sqref>
        </x14:dataValidation>
        <x14:dataValidation type="list" allowBlank="1" showInputMessage="1" showErrorMessage="1" xr:uid="{0D682529-775F-46D2-BE17-1B04DF74043E}">
          <x14:formula1>
            <xm:f>'S1&amp;2 Lists'!$C$7:$C$128</xm:f>
          </x14:formula1>
          <xm:sqref>G10:G654</xm:sqref>
        </x14:dataValidation>
        <x14:dataValidation type="list" allowBlank="1" showInputMessage="1" showErrorMessage="1" xr:uid="{BF32A051-B94F-472E-9812-592C5750D822}">
          <x14:formula1>
            <xm:f>'S1&amp;2 Lists'!$AU$3:$AU$13</xm:f>
          </x14:formula1>
          <xm:sqref>B10:B654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6E781A-706F-4F26-814E-67B6758DDDDA}">
  <sheetPr codeName="Sheet10">
    <tabColor rgb="FF94E494"/>
  </sheetPr>
  <dimension ref="A1:O41"/>
  <sheetViews>
    <sheetView showGridLines="0" zoomScaleNormal="100" workbookViewId="0">
      <selection activeCell="D13" sqref="D13"/>
    </sheetView>
  </sheetViews>
  <sheetFormatPr defaultColWidth="10.5" defaultRowHeight="15"/>
  <cols>
    <col min="1" max="1" width="26.625" style="693" customWidth="1"/>
    <col min="2" max="2" width="17.125" style="693" customWidth="1"/>
    <col min="3" max="3" width="16.625" style="693" customWidth="1"/>
    <col min="4" max="4" width="15.125" style="693" customWidth="1"/>
    <col min="5" max="5" width="10.5" style="693"/>
    <col min="6" max="6" width="21.625" style="693" customWidth="1"/>
    <col min="7" max="7" width="26.375" style="693" bestFit="1" customWidth="1"/>
    <col min="8" max="8" width="16.125" style="693" customWidth="1"/>
    <col min="9" max="9" width="10.5" style="693"/>
    <col min="10" max="10" width="14.875" style="693" bestFit="1" customWidth="1"/>
    <col min="11" max="11" width="17.875" style="693" bestFit="1" customWidth="1"/>
    <col min="12" max="12" width="10.5" style="693"/>
    <col min="13" max="13" width="19.625" style="693" customWidth="1"/>
    <col min="14" max="16384" width="10.5" style="693"/>
  </cols>
  <sheetData>
    <row r="1" spans="1:15" ht="107.25" customHeight="1" thickTop="1" thickBot="1">
      <c r="D1" s="694" t="str">
        <f>+Instructions!B2</f>
        <v>Health Care Emissions Impact Calculator-Facility</v>
      </c>
      <c r="H1" s="781" t="s">
        <v>2772</v>
      </c>
    </row>
    <row r="2" spans="1:15" s="697" customFormat="1" ht="18.75" thickTop="1">
      <c r="A2" s="695" t="str">
        <f>+'Scope 1 and 2 Data'!A215</f>
        <v>1.3.2</v>
      </c>
      <c r="B2" s="696" t="str">
        <f>+'Scope 1 and 2 Data'!B215</f>
        <v>Inhaled Anesthetic Gases</v>
      </c>
      <c r="C2" s="696"/>
      <c r="D2" s="696"/>
      <c r="E2" s="696"/>
      <c r="F2" s="696"/>
      <c r="G2" s="696"/>
      <c r="H2" s="696"/>
      <c r="I2" s="696"/>
      <c r="J2" s="696"/>
      <c r="K2" s="696"/>
      <c r="L2" s="696"/>
      <c r="M2" s="696"/>
    </row>
    <row r="4" spans="1:15" ht="15.75">
      <c r="A4" s="370" t="s">
        <v>1844</v>
      </c>
      <c r="B4" s="698"/>
      <c r="C4" s="698"/>
      <c r="D4" s="698"/>
    </row>
    <row r="5" spans="1:15" ht="54" customHeight="1">
      <c r="A5" s="1518" t="s">
        <v>2892</v>
      </c>
      <c r="B5" s="1518"/>
      <c r="C5" s="1518"/>
      <c r="D5" s="1518"/>
    </row>
    <row r="6" spans="1:15" ht="45" customHeight="1">
      <c r="A6" s="1519" t="s">
        <v>2893</v>
      </c>
      <c r="B6" s="1519"/>
      <c r="C6" s="1519"/>
      <c r="D6" s="1519"/>
    </row>
    <row r="7" spans="1:15" ht="36.75" customHeight="1">
      <c r="A7" s="1520" t="s">
        <v>3282</v>
      </c>
      <c r="B7" s="1520"/>
      <c r="C7" s="1520"/>
      <c r="G7" s="700"/>
      <c r="H7" s="700"/>
      <c r="I7" s="700"/>
      <c r="J7" s="700"/>
      <c r="K7" s="700"/>
      <c r="L7" s="700"/>
      <c r="M7" s="700"/>
    </row>
    <row r="8" spans="1:15" ht="15.75">
      <c r="F8" s="700" t="s">
        <v>2894</v>
      </c>
      <c r="G8" s="700"/>
      <c r="H8" s="700"/>
      <c r="I8" s="700"/>
      <c r="J8" s="700"/>
      <c r="K8" s="700"/>
      <c r="L8" s="700"/>
      <c r="M8" s="700"/>
    </row>
    <row r="9" spans="1:15" ht="15.75">
      <c r="A9" s="700" t="s">
        <v>2895</v>
      </c>
      <c r="B9" s="772" t="s">
        <v>2896</v>
      </c>
      <c r="C9" s="772" t="s">
        <v>2897</v>
      </c>
      <c r="F9" s="699" t="s">
        <v>2898</v>
      </c>
      <c r="G9" s="699" t="s">
        <v>2899</v>
      </c>
      <c r="H9" s="699" t="s">
        <v>2900</v>
      </c>
      <c r="I9" s="699" t="s">
        <v>1997</v>
      </c>
      <c r="J9" s="701"/>
      <c r="K9" s="699" t="s">
        <v>2901</v>
      </c>
      <c r="L9" s="699" t="s">
        <v>24</v>
      </c>
      <c r="M9" s="699" t="s">
        <v>2902</v>
      </c>
      <c r="N9" s="698"/>
    </row>
    <row r="10" spans="1:15" ht="18">
      <c r="A10" s="702" t="str">
        <f>+'Scope 1 and 2 Data'!B229</f>
        <v>Isoflurane</v>
      </c>
      <c r="B10" s="773"/>
      <c r="C10" s="773"/>
      <c r="F10" s="701" t="str">
        <f>+A10</f>
        <v>Isoflurane</v>
      </c>
      <c r="G10" s="699"/>
      <c r="H10" s="701"/>
      <c r="I10" s="701"/>
      <c r="J10" s="701"/>
      <c r="K10" s="701"/>
      <c r="L10" s="701"/>
      <c r="M10" s="701"/>
      <c r="N10" s="698"/>
    </row>
    <row r="11" spans="1:15">
      <c r="A11" s="703" t="s">
        <v>2903</v>
      </c>
      <c r="B11" s="481"/>
      <c r="C11" s="481"/>
      <c r="F11" s="701"/>
      <c r="G11" s="701" t="s">
        <v>2903</v>
      </c>
      <c r="H11" s="701">
        <f>B11*C11</f>
        <v>0</v>
      </c>
      <c r="I11" s="701">
        <f>H11/1000</f>
        <v>0</v>
      </c>
      <c r="J11" s="701"/>
      <c r="K11" s="701"/>
      <c r="L11" s="701"/>
      <c r="M11" s="701"/>
      <c r="N11" s="698"/>
    </row>
    <row r="12" spans="1:15">
      <c r="A12" s="703" t="s">
        <v>2904</v>
      </c>
      <c r="B12" s="481"/>
      <c r="C12" s="481"/>
      <c r="F12" s="701"/>
      <c r="G12" s="701" t="s">
        <v>2904</v>
      </c>
      <c r="H12" s="701">
        <f>B12*C12</f>
        <v>0</v>
      </c>
      <c r="I12" s="701">
        <f>H12/1000</f>
        <v>0</v>
      </c>
      <c r="J12" s="701"/>
      <c r="K12" s="701"/>
      <c r="L12" s="701"/>
      <c r="M12" s="701"/>
      <c r="N12" s="698"/>
    </row>
    <row r="13" spans="1:15">
      <c r="A13" s="703" t="s">
        <v>2905</v>
      </c>
      <c r="B13" s="481"/>
      <c r="C13" s="481"/>
      <c r="F13" s="701"/>
      <c r="G13" s="701" t="s">
        <v>2905</v>
      </c>
      <c r="H13" s="701">
        <f>B13*C13</f>
        <v>0</v>
      </c>
      <c r="I13" s="701">
        <f>H13/1000</f>
        <v>0</v>
      </c>
      <c r="J13" s="701"/>
      <c r="K13" s="701" t="s">
        <v>2906</v>
      </c>
      <c r="L13" s="701" t="s">
        <v>24</v>
      </c>
      <c r="M13" s="701" t="s">
        <v>2907</v>
      </c>
      <c r="N13" s="698"/>
    </row>
    <row r="14" spans="1:15">
      <c r="B14" s="774"/>
      <c r="C14" s="774"/>
      <c r="F14" s="701"/>
      <c r="G14" s="701" t="s">
        <v>8</v>
      </c>
      <c r="H14" s="701">
        <f>SUM(H11:H13)</f>
        <v>0</v>
      </c>
      <c r="I14" s="701">
        <f>SUM(I11:I13)</f>
        <v>0</v>
      </c>
      <c r="J14" s="701"/>
      <c r="K14" s="771">
        <f>+'S1&amp;2 Lists'!H5</f>
        <v>1.496</v>
      </c>
      <c r="L14" s="701">
        <f>VLOOKUP(F10,'S1&amp;2 Lists'!$C:$E,3,FALSE)</f>
        <v>539</v>
      </c>
      <c r="M14" s="701">
        <f>I14*K14*L14</f>
        <v>0</v>
      </c>
      <c r="N14" s="698"/>
    </row>
    <row r="15" spans="1:15">
      <c r="B15" s="774"/>
      <c r="C15" s="774"/>
      <c r="F15" s="701"/>
      <c r="G15" s="701"/>
      <c r="H15" s="701"/>
      <c r="I15" s="701"/>
      <c r="J15" s="701"/>
      <c r="K15" s="701"/>
      <c r="L15" s="701"/>
      <c r="M15" s="701"/>
      <c r="N15" s="698"/>
      <c r="O15" s="730"/>
    </row>
    <row r="16" spans="1:15">
      <c r="B16" s="772" t="s">
        <v>2896</v>
      </c>
      <c r="C16" s="772" t="s">
        <v>2897</v>
      </c>
      <c r="F16" s="701"/>
      <c r="G16" s="701"/>
      <c r="H16" s="701"/>
      <c r="I16" s="701"/>
      <c r="J16" s="701"/>
      <c r="K16" s="701"/>
      <c r="L16" s="701"/>
      <c r="M16" s="701"/>
      <c r="N16" s="698"/>
    </row>
    <row r="17" spans="1:15" ht="18">
      <c r="A17" s="702" t="str">
        <f>+'Scope 1 and 2 Data'!B230</f>
        <v>Sevoflurane</v>
      </c>
      <c r="B17" s="773"/>
      <c r="C17" s="773"/>
      <c r="F17" s="701" t="str">
        <f>+A17</f>
        <v>Sevoflurane</v>
      </c>
      <c r="G17" s="701" t="s">
        <v>2903</v>
      </c>
      <c r="H17" s="701">
        <f>B18*C18</f>
        <v>0</v>
      </c>
      <c r="I17" s="701">
        <f>H17/1000</f>
        <v>0</v>
      </c>
      <c r="J17" s="701"/>
      <c r="K17" s="701"/>
      <c r="L17" s="701"/>
      <c r="M17" s="701"/>
      <c r="N17" s="698"/>
    </row>
    <row r="18" spans="1:15">
      <c r="A18" s="703" t="s">
        <v>2903</v>
      </c>
      <c r="B18" s="481"/>
      <c r="C18" s="481"/>
      <c r="F18" s="701"/>
      <c r="G18" s="701" t="s">
        <v>2904</v>
      </c>
      <c r="H18" s="701">
        <f>B19*C19</f>
        <v>0</v>
      </c>
      <c r="I18" s="701">
        <f>H18/1000</f>
        <v>0</v>
      </c>
      <c r="J18" s="701"/>
      <c r="K18" s="701"/>
      <c r="L18" s="701"/>
      <c r="M18" s="701"/>
      <c r="N18" s="698"/>
    </row>
    <row r="19" spans="1:15">
      <c r="A19" s="703" t="s">
        <v>2904</v>
      </c>
      <c r="B19" s="481"/>
      <c r="C19" s="481"/>
      <c r="F19" s="701"/>
      <c r="G19" s="701" t="s">
        <v>2905</v>
      </c>
      <c r="H19" s="701">
        <f>B20*C20</f>
        <v>0</v>
      </c>
      <c r="I19" s="701">
        <f>H19/1000</f>
        <v>0</v>
      </c>
      <c r="J19" s="701"/>
      <c r="K19" s="701" t="s">
        <v>2906</v>
      </c>
      <c r="L19" s="701" t="s">
        <v>24</v>
      </c>
      <c r="M19" s="701" t="s">
        <v>2907</v>
      </c>
      <c r="N19" s="698"/>
    </row>
    <row r="20" spans="1:15">
      <c r="A20" s="703" t="s">
        <v>2905</v>
      </c>
      <c r="B20" s="481"/>
      <c r="C20" s="481"/>
      <c r="F20" s="701"/>
      <c r="G20" s="701" t="s">
        <v>8</v>
      </c>
      <c r="H20" s="701">
        <f>SUM(H17:H19)</f>
        <v>0</v>
      </c>
      <c r="I20" s="701">
        <f>SUM(I17:I19)</f>
        <v>0</v>
      </c>
      <c r="J20" s="701"/>
      <c r="K20" s="771">
        <f>+'S1&amp;2 Lists'!H6</f>
        <v>1.522</v>
      </c>
      <c r="L20" s="701">
        <f>VLOOKUP(F17,'S1&amp;2 Lists'!$C:$E,3,FALSE)</f>
        <v>195</v>
      </c>
      <c r="M20" s="701">
        <f>I20*K20*L20</f>
        <v>0</v>
      </c>
      <c r="N20" s="698"/>
    </row>
    <row r="21" spans="1:15" ht="18">
      <c r="A21" s="704"/>
      <c r="B21" s="775"/>
      <c r="C21" s="775"/>
      <c r="F21" s="701"/>
      <c r="G21" s="701"/>
      <c r="H21" s="701"/>
      <c r="I21" s="701"/>
      <c r="J21" s="701"/>
      <c r="K21" s="701"/>
      <c r="L21" s="701"/>
      <c r="M21" s="701"/>
      <c r="N21" s="698"/>
    </row>
    <row r="22" spans="1:15" ht="18">
      <c r="A22" s="704"/>
      <c r="B22" s="774"/>
      <c r="C22" s="774"/>
      <c r="F22" s="701"/>
      <c r="G22" s="701"/>
      <c r="H22" s="701"/>
      <c r="I22" s="701"/>
      <c r="J22" s="701"/>
      <c r="K22" s="701"/>
      <c r="L22" s="701"/>
      <c r="M22" s="701"/>
      <c r="N22" s="698"/>
      <c r="O22" s="730"/>
    </row>
    <row r="23" spans="1:15" ht="18">
      <c r="A23" s="704"/>
      <c r="B23" s="772" t="s">
        <v>2896</v>
      </c>
      <c r="C23" s="772" t="s">
        <v>2897</v>
      </c>
      <c r="F23" s="701"/>
      <c r="G23" s="701"/>
      <c r="H23" s="701"/>
      <c r="I23" s="701"/>
      <c r="J23" s="701"/>
      <c r="K23" s="701"/>
      <c r="L23" s="701"/>
      <c r="M23" s="701"/>
      <c r="N23" s="698"/>
    </row>
    <row r="24" spans="1:15" ht="18">
      <c r="A24" s="702" t="str">
        <f>+'Scope 1 and 2 Data'!B231</f>
        <v>Desflurane</v>
      </c>
      <c r="B24" s="773"/>
      <c r="C24" s="773"/>
      <c r="F24" s="701" t="str">
        <f>+A24</f>
        <v>Desflurane</v>
      </c>
      <c r="G24" s="701" t="s">
        <v>2903</v>
      </c>
      <c r="H24" s="701">
        <f>B25*C25</f>
        <v>0</v>
      </c>
      <c r="I24" s="701">
        <f>H24/1000</f>
        <v>0</v>
      </c>
      <c r="J24" s="701"/>
      <c r="K24" s="701"/>
      <c r="L24" s="701"/>
      <c r="M24" s="701"/>
      <c r="N24" s="698"/>
    </row>
    <row r="25" spans="1:15">
      <c r="A25" s="703" t="s">
        <v>2903</v>
      </c>
      <c r="B25" s="481"/>
      <c r="C25" s="481"/>
      <c r="F25" s="701"/>
      <c r="G25" s="701" t="s">
        <v>2904</v>
      </c>
      <c r="H25" s="701">
        <f>B26*C26</f>
        <v>0</v>
      </c>
      <c r="I25" s="701">
        <f>H25/1000</f>
        <v>0</v>
      </c>
      <c r="J25" s="701"/>
      <c r="K25" s="701"/>
      <c r="L25" s="701"/>
      <c r="M25" s="701"/>
      <c r="N25" s="698"/>
    </row>
    <row r="26" spans="1:15">
      <c r="A26" s="703" t="s">
        <v>2904</v>
      </c>
      <c r="B26" s="481"/>
      <c r="C26" s="481"/>
      <c r="F26" s="701"/>
      <c r="G26" s="701" t="s">
        <v>2905</v>
      </c>
      <c r="H26" s="701">
        <f>B27*C27</f>
        <v>0</v>
      </c>
      <c r="I26" s="701">
        <f>H26/1000</f>
        <v>0</v>
      </c>
      <c r="J26" s="701"/>
      <c r="K26" s="701" t="s">
        <v>2906</v>
      </c>
      <c r="L26" s="701" t="s">
        <v>24</v>
      </c>
      <c r="M26" s="701" t="s">
        <v>2907</v>
      </c>
      <c r="N26" s="698"/>
    </row>
    <row r="27" spans="1:15">
      <c r="A27" s="703" t="s">
        <v>2905</v>
      </c>
      <c r="B27" s="481"/>
      <c r="C27" s="481"/>
      <c r="F27" s="701"/>
      <c r="G27" s="701" t="s">
        <v>8</v>
      </c>
      <c r="H27" s="701">
        <f>SUM(H24:H26)</f>
        <v>0</v>
      </c>
      <c r="I27" s="701">
        <f>SUM(I24:I26)</f>
        <v>0</v>
      </c>
      <c r="J27" s="701"/>
      <c r="K27" s="771">
        <f>+'S1&amp;2 Lists'!H7</f>
        <v>1.4650000000000001</v>
      </c>
      <c r="L27" s="701">
        <f>VLOOKUP(F24,'S1&amp;2 Lists'!$C:$E,3,FALSE)</f>
        <v>2590</v>
      </c>
      <c r="M27" s="701">
        <f>I27*K27*L27</f>
        <v>0</v>
      </c>
      <c r="N27" s="698"/>
    </row>
    <row r="28" spans="1:15">
      <c r="B28" s="774"/>
      <c r="C28" s="774"/>
      <c r="F28" s="701"/>
      <c r="G28" s="701"/>
      <c r="H28" s="701"/>
      <c r="I28" s="701"/>
      <c r="J28" s="701"/>
      <c r="K28" s="701"/>
      <c r="L28" s="701"/>
      <c r="M28" s="701"/>
      <c r="N28" s="698"/>
    </row>
    <row r="29" spans="1:15">
      <c r="B29" s="772" t="s">
        <v>1832</v>
      </c>
      <c r="C29" s="772" t="s">
        <v>0</v>
      </c>
      <c r="F29" s="701"/>
      <c r="G29" s="701"/>
      <c r="H29" s="701"/>
      <c r="I29" s="701"/>
      <c r="J29" s="701"/>
      <c r="K29" s="701"/>
      <c r="L29" s="701"/>
      <c r="M29" s="701"/>
      <c r="N29" s="698"/>
      <c r="O29" s="730"/>
    </row>
    <row r="30" spans="1:15" ht="20.25" customHeight="1">
      <c r="A30" s="705" t="str">
        <f>+'Scope 1 and 2 Data'!B228</f>
        <v>N2O</v>
      </c>
      <c r="B30" s="776"/>
      <c r="C30" s="776"/>
      <c r="F30" s="701" t="str">
        <f>+A30</f>
        <v>N2O</v>
      </c>
      <c r="G30" s="701"/>
      <c r="H30" s="701"/>
      <c r="I30" s="701"/>
      <c r="J30" s="701" t="s">
        <v>3291</v>
      </c>
      <c r="K30" s="701" t="s">
        <v>2908</v>
      </c>
      <c r="L30" s="701" t="s">
        <v>24</v>
      </c>
      <c r="M30" s="701" t="s">
        <v>2907</v>
      </c>
      <c r="N30" s="698"/>
    </row>
    <row r="31" spans="1:15">
      <c r="A31" s="703" t="s">
        <v>3286</v>
      </c>
      <c r="B31" s="481"/>
      <c r="C31" s="481"/>
      <c r="F31" s="701"/>
      <c r="G31" s="701" t="str">
        <f>A31</f>
        <v>Quantity delivered</v>
      </c>
      <c r="H31" s="701"/>
      <c r="I31" s="701">
        <f>+B31</f>
        <v>0</v>
      </c>
      <c r="J31" s="701">
        <f>1.22/1000</f>
        <v>1.2199999999999999E-3</v>
      </c>
      <c r="K31" s="706">
        <v>0.4536</v>
      </c>
      <c r="L31" s="701">
        <f>VLOOKUP(F30,'S1&amp;2 Lists'!$C:$E,3,FALSE)</f>
        <v>273</v>
      </c>
      <c r="M31" s="708">
        <f>IF(C31="lbs", I31*K31*L31, I31*J31*L31)</f>
        <v>0</v>
      </c>
      <c r="N31" s="698"/>
    </row>
    <row r="32" spans="1:15">
      <c r="B32" s="774"/>
      <c r="C32" s="774"/>
      <c r="F32" s="701"/>
      <c r="G32" s="701"/>
      <c r="H32" s="701"/>
      <c r="I32" s="701"/>
      <c r="J32" s="701"/>
      <c r="K32" s="701"/>
      <c r="L32" s="701"/>
      <c r="M32" s="701"/>
      <c r="N32" s="698"/>
      <c r="O32" s="730"/>
    </row>
    <row r="33" spans="1:15" ht="15.75" customHeight="1">
      <c r="B33" s="772" t="s">
        <v>1832</v>
      </c>
      <c r="C33" s="772" t="s">
        <v>0</v>
      </c>
      <c r="F33" s="701"/>
      <c r="G33" s="701"/>
      <c r="H33" s="701"/>
      <c r="I33" s="701"/>
      <c r="J33" s="701"/>
      <c r="K33" s="701"/>
      <c r="L33" s="701"/>
      <c r="M33" s="701"/>
      <c r="N33" s="698"/>
    </row>
    <row r="34" spans="1:15" ht="18">
      <c r="A34" s="702" t="s">
        <v>1872</v>
      </c>
      <c r="B34" s="776"/>
      <c r="C34" s="776"/>
      <c r="F34" s="701" t="str">
        <f>+A34</f>
        <v>N2O/O2 - 50/50 vol</v>
      </c>
      <c r="G34" s="701"/>
      <c r="H34" s="701"/>
      <c r="I34" s="701"/>
      <c r="J34" s="701" t="s">
        <v>3291</v>
      </c>
      <c r="K34" s="701" t="s">
        <v>2908</v>
      </c>
      <c r="L34" s="701" t="s">
        <v>24</v>
      </c>
      <c r="M34" s="701" t="s">
        <v>2907</v>
      </c>
      <c r="N34" s="698"/>
    </row>
    <row r="35" spans="1:15">
      <c r="A35" s="703" t="s">
        <v>3286</v>
      </c>
      <c r="B35" s="481"/>
      <c r="C35" s="481"/>
      <c r="F35" s="701"/>
      <c r="G35" s="701" t="str">
        <f>A35</f>
        <v>Quantity delivered</v>
      </c>
      <c r="H35" s="701"/>
      <c r="I35" s="1445">
        <f>+B35*0.578947</f>
        <v>0</v>
      </c>
      <c r="J35" s="701">
        <f>1.22/1000</f>
        <v>1.2199999999999999E-3</v>
      </c>
      <c r="K35" s="706">
        <v>0.4536</v>
      </c>
      <c r="L35" s="707">
        <f>+'Scope 1 and 2 Data'!C228</f>
        <v>273</v>
      </c>
      <c r="M35" s="708">
        <f>IF(C35="lbs", I35*K35*L35, I35*J35*L35)</f>
        <v>0</v>
      </c>
      <c r="N35" s="698"/>
    </row>
    <row r="36" spans="1:15">
      <c r="B36" s="774"/>
      <c r="C36" s="774"/>
      <c r="F36" s="701"/>
      <c r="G36" s="701"/>
      <c r="H36" s="701"/>
      <c r="I36" s="701"/>
      <c r="J36" s="701"/>
      <c r="K36" s="701"/>
      <c r="L36" s="701"/>
      <c r="M36" s="701"/>
      <c r="N36" s="698"/>
    </row>
    <row r="37" spans="1:15">
      <c r="B37" s="772" t="s">
        <v>1832</v>
      </c>
      <c r="C37" s="772" t="s">
        <v>0</v>
      </c>
      <c r="F37" s="701"/>
      <c r="G37" s="701"/>
      <c r="H37" s="701"/>
      <c r="I37" s="701"/>
      <c r="J37" s="701" t="s">
        <v>3291</v>
      </c>
      <c r="K37" s="701" t="s">
        <v>2908</v>
      </c>
      <c r="L37" s="701" t="s">
        <v>24</v>
      </c>
      <c r="M37" s="701" t="s">
        <v>2907</v>
      </c>
      <c r="N37" s="698"/>
    </row>
    <row r="38" spans="1:15" ht="18">
      <c r="A38" s="702" t="str">
        <f>+'Scope 1 and 2 Data'!B232</f>
        <v>Carbon Dioxide (CO2​)</v>
      </c>
      <c r="B38" s="776"/>
      <c r="C38" s="776"/>
      <c r="F38" s="701" t="str">
        <f>+A38</f>
        <v>Carbon Dioxide (CO2​)</v>
      </c>
      <c r="G38" s="701" t="str">
        <f>A39</f>
        <v>Quantity delivered</v>
      </c>
      <c r="H38" s="701"/>
      <c r="I38" s="701">
        <f>+B39</f>
        <v>0</v>
      </c>
      <c r="J38" s="701">
        <f>1.101/1000</f>
        <v>1.101E-3</v>
      </c>
      <c r="K38" s="706">
        <v>0.4536</v>
      </c>
      <c r="L38" s="701">
        <f>VLOOKUP(F38,'S1&amp;2 Lists'!$C:$E,3,FALSE)</f>
        <v>1</v>
      </c>
      <c r="M38" s="708">
        <f>IF(C39="lbs", I38*K38*L38, I38*J38*L38)</f>
        <v>0</v>
      </c>
      <c r="N38" s="698"/>
    </row>
    <row r="39" spans="1:15">
      <c r="A39" s="703" t="s">
        <v>3286</v>
      </c>
      <c r="B39" s="481"/>
      <c r="C39" s="481"/>
      <c r="M39" s="693" t="s">
        <v>1737</v>
      </c>
      <c r="N39" s="698"/>
    </row>
    <row r="40" spans="1:15">
      <c r="N40" s="698"/>
      <c r="O40" s="730"/>
    </row>
    <row r="41" spans="1:15">
      <c r="N41" s="698"/>
    </row>
  </sheetData>
  <sheetProtection algorithmName="SHA-512" hashValue="LV7KfrQYsf7RpL9Q9nPhnkVpsvCd9HpRp2iXuoQJq3Z2k5O7rSwz/d2YlQ6DZKcz5axWRiyZw29BRVsvQo2a/Q==" saltValue="k1yhDjpkGcEvNHj/g96Q0Q==" spinCount="100000" sheet="1" objects="1" scenarios="1"/>
  <mergeCells count="3">
    <mergeCell ref="A5:D5"/>
    <mergeCell ref="A6:D6"/>
    <mergeCell ref="A7:C7"/>
  </mergeCells>
  <hyperlinks>
    <hyperlink ref="H1" location="'Scope 1 and 2 Data'!C210" display="Go back to Scope 1 and 2 Data" xr:uid="{D7BD63B1-1BF6-4F1F-B6F7-467AF012955F}"/>
  </hyperlinks>
  <pageMargins left="0.75" right="0.75" top="1.0416666666666667" bottom="1" header="0.5" footer="0.5"/>
  <pageSetup orientation="portrait" horizontalDpi="4294967292" verticalDpi="4294967292" r:id="rId1"/>
  <headerFooter>
    <oddHeader xml:space="preserve">&amp;L&amp;G&amp;R&amp;"-,Negrita"&amp;8
Herramienta para el cálculo de la huella de carbono en hospitales&amp;"-,Normal"
</oddHeader>
  </headerFooter>
  <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29764F1E-F556-4D45-BC44-5E507209E460}">
          <x14:formula1>
            <xm:f>'S1&amp;2 Lists'!$DU$3:$DU$4</xm:f>
          </x14:formula1>
          <xm:sqref>C31 C35 C39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b1b820adfd3e4a078472514c1a5cb5ff xmlns="87037488-ec5d-4aba-84c2-9b1d22638e8e">
      <Terms xmlns="http://schemas.microsoft.com/office/infopath/2007/PartnerControls"/>
    </b1b820adfd3e4a078472514c1a5cb5ff>
    <TaxCatchAll xmlns="87037488-ec5d-4aba-84c2-9b1d22638e8e" xsi:nil="true"/>
    <SharedWithUsers xmlns="2ccc2635-740d-44a0-9af6-db4b7245622b">
      <UserInfo>
        <DisplayName>BROOKS Jessica (ENGIE Impact)</DisplayName>
        <AccountId>11</AccountId>
        <AccountType/>
      </UserInfo>
    </SharedWithUsers>
    <lcf76f155ced4ddcb4097134ff3c332f xmlns="0a2d0cae-8a41-4761-b650-bfdba13c5436">
      <Terms xmlns="http://schemas.microsoft.com/office/infopath/2007/PartnerControls"/>
    </lcf76f155ced4ddcb4097134ff3c332f>
  </documentManagement>
</p:properties>
</file>

<file path=customXml/item3.xml><?xml version="1.0" encoding="utf-8"?>
<?mso-contentType ?>
<SharedContentType xmlns="Microsoft.SharePoint.Taxonomy.ContentTypeSync" SourceId="902b3144-05cb-4777-86b3-e84c4a6b5b61" ContentTypeId="0x0101" PreviousValue="true"/>
</file>

<file path=customXml/item4.xml><?xml version="1.0" encoding="utf-8"?>
<ct:contentTypeSchema xmlns:ct="http://schemas.microsoft.com/office/2006/metadata/contentType" xmlns:ma="http://schemas.microsoft.com/office/2006/metadata/properties/metaAttributes" ct:_="" ma:_="" ma:contentTypeName="Document" ma:contentTypeID="0x0101005E692C27715FE749A7C729010F0122B3" ma:contentTypeVersion="22" ma:contentTypeDescription="Create a new document." ma:contentTypeScope="" ma:versionID="9b3658457d975638f2fbf115bbde4ecd">
  <xsd:schema xmlns:xsd="http://www.w3.org/2001/XMLSchema" xmlns:xs="http://www.w3.org/2001/XMLSchema" xmlns:p="http://schemas.microsoft.com/office/2006/metadata/properties" xmlns:ns2="87037488-ec5d-4aba-84c2-9b1d22638e8e" xmlns:ns3="0a2d0cae-8a41-4761-b650-bfdba13c5436" xmlns:ns4="2ccc2635-740d-44a0-9af6-db4b7245622b" targetNamespace="http://schemas.microsoft.com/office/2006/metadata/properties" ma:root="true" ma:fieldsID="276d3ba7a0faca8517a0de0c0eca8b6b" ns2:_="" ns3:_="" ns4:_="">
    <xsd:import namespace="87037488-ec5d-4aba-84c2-9b1d22638e8e"/>
    <xsd:import namespace="0a2d0cae-8a41-4761-b650-bfdba13c5436"/>
    <xsd:import namespace="2ccc2635-740d-44a0-9af6-db4b7245622b"/>
    <xsd:element name="properties">
      <xsd:complexType>
        <xsd:sequence>
          <xsd:element name="documentManagement">
            <xsd:complexType>
              <xsd:all>
                <xsd:element ref="ns2:b1b820adfd3e4a078472514c1a5cb5ff" minOccurs="0"/>
                <xsd:element ref="ns2:TaxCatchAll" minOccurs="0"/>
                <xsd:element ref="ns2:TaxCatchAllLabel" minOccurs="0"/>
                <xsd:element ref="ns3:MediaServiceMetadata" minOccurs="0"/>
                <xsd:element ref="ns3:MediaServiceFastMetadata" minOccurs="0"/>
                <xsd:element ref="ns3:MediaServiceAutoTags" minOccurs="0"/>
                <xsd:element ref="ns4:SharedWithUsers" minOccurs="0"/>
                <xsd:element ref="ns4:SharedWithDetails" minOccurs="0"/>
                <xsd:element ref="ns3:MediaServiceAutoKeyPoints" minOccurs="0"/>
                <xsd:element ref="ns3:MediaServiceKeyPoints" minOccurs="0"/>
                <xsd:element ref="ns3:MediaServiceGenerationTime" minOccurs="0"/>
                <xsd:element ref="ns3:MediaServiceEventHashCode" minOccurs="0"/>
                <xsd:element ref="ns3:MediaServiceDateTaken" minOccurs="0"/>
                <xsd:element ref="ns3:MediaServiceOCR" minOccurs="0"/>
                <xsd:element ref="ns3:MediaLengthInSeconds" minOccurs="0"/>
                <xsd:element ref="ns3:lcf76f155ced4ddcb4097134ff3c332f" minOccurs="0"/>
                <xsd:element ref="ns3:MediaServiceLocation"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7037488-ec5d-4aba-84c2-9b1d22638e8e" elementFormDefault="qualified">
    <xsd:import namespace="http://schemas.microsoft.com/office/2006/documentManagement/types"/>
    <xsd:import namespace="http://schemas.microsoft.com/office/infopath/2007/PartnerControls"/>
    <xsd:element name="b1b820adfd3e4a078472514c1a5cb5ff" ma:index="8" nillable="true" ma:taxonomy="true" ma:internalName="b1b820adfd3e4a078472514c1a5cb5ff" ma:taxonomyFieldName="Security_x0020_Classification" ma:displayName="Security Classification" ma:default="" ma:fieldId="{b1b820ad-fd3e-4a07-8472-514c1a5cb5ff}" ma:sspId="3bf472f7-a010-4b5a-bb99-a26ed4c99680" ma:termSetId="0c0ba91f-ee81-4a79-83f6-c19eebf2f16f"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3a0ea45a-e2de-4f9b-845d-1515b9c9e6e4}" ma:internalName="TaxCatchAll" ma:showField="CatchAllData" ma:web="2ccc2635-740d-44a0-9af6-db4b7245622b">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3a0ea45a-e2de-4f9b-845d-1515b9c9e6e4}" ma:internalName="TaxCatchAllLabel" ma:readOnly="true" ma:showField="CatchAllDataLabel" ma:web="2ccc2635-740d-44a0-9af6-db4b7245622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0a2d0cae-8a41-4761-b650-bfdba13c5436" elementFormDefault="qualified">
    <xsd:import namespace="http://schemas.microsoft.com/office/2006/documentManagement/types"/>
    <xsd:import namespace="http://schemas.microsoft.com/office/infopath/2007/PartnerControls"/>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AutoTags" ma:index="14" nillable="true" ma:displayName="Tags" ma:internalName="MediaServiceAutoTags"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DateTaken" ma:index="21" nillable="true" ma:displayName="MediaServiceDateTaken" ma:hidden="true" ma:internalName="MediaServiceDateTaken" ma:readOnly="true">
      <xsd:simpleType>
        <xsd:restriction base="dms:Text"/>
      </xsd:simpleType>
    </xsd:element>
    <xsd:element name="MediaServiceOCR" ma:index="22" nillable="true" ma:displayName="Extracted Text" ma:internalName="MediaServiceOCR" ma:readOnly="true">
      <xsd:simpleType>
        <xsd:restriction base="dms:Note">
          <xsd:maxLength value="255"/>
        </xsd:restriction>
      </xsd:simpleType>
    </xsd:element>
    <xsd:element name="MediaLengthInSeconds" ma:index="23" nillable="true" ma:displayName="MediaLengthInSeconds" ma:hidden="true"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3bf472f7-a010-4b5a-bb99-a26ed4c99680" ma:termSetId="09814cd3-568e-fe90-9814-8d621ff8fb84" ma:anchorId="fba54fb3-c3e1-fe81-a776-ca4b69148c4d" ma:open="true" ma:isKeyword="false">
      <xsd:complexType>
        <xsd:sequence>
          <xsd:element ref="pc:Terms" minOccurs="0" maxOccurs="1"/>
        </xsd:sequence>
      </xsd:complexType>
    </xsd:element>
    <xsd:element name="MediaServiceLocation" ma:index="26" nillable="true" ma:displayName="Location" ma:description="" ma:indexed="true" ma:internalName="MediaServiceLocation" ma:readOnly="true">
      <xsd:simpleType>
        <xsd:restriction base="dms:Text"/>
      </xsd:simple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element name="MediaServiceBillingMetadata" ma:index="29"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ccc2635-740d-44a0-9af6-db4b7245622b"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71218B7-A875-4CC5-A01E-14C3154D787F}">
  <ds:schemaRefs>
    <ds:schemaRef ds:uri="http://schemas.microsoft.com/sharepoint/v3/contenttype/forms"/>
  </ds:schemaRefs>
</ds:datastoreItem>
</file>

<file path=customXml/itemProps2.xml><?xml version="1.0" encoding="utf-8"?>
<ds:datastoreItem xmlns:ds="http://schemas.openxmlformats.org/officeDocument/2006/customXml" ds:itemID="{68BE8F6E-6391-4467-9543-21FC5C8E1BB7}">
  <ds:schemaRefs>
    <ds:schemaRef ds:uri="http://purl.org/dc/elements/1.1/"/>
    <ds:schemaRef ds:uri="2ccc2635-740d-44a0-9af6-db4b7245622b"/>
    <ds:schemaRef ds:uri="http://schemas.microsoft.com/office/2006/metadata/properties"/>
    <ds:schemaRef ds:uri="http://www.w3.org/XML/1998/namespace"/>
    <ds:schemaRef ds:uri="http://purl.org/dc/terms/"/>
    <ds:schemaRef ds:uri="http://schemas.microsoft.com/office/2006/documentManagement/types"/>
    <ds:schemaRef ds:uri="http://schemas.openxmlformats.org/package/2006/metadata/core-properties"/>
    <ds:schemaRef ds:uri="0a2d0cae-8a41-4761-b650-bfdba13c5436"/>
    <ds:schemaRef ds:uri="http://schemas.microsoft.com/office/infopath/2007/PartnerControls"/>
    <ds:schemaRef ds:uri="87037488-ec5d-4aba-84c2-9b1d22638e8e"/>
    <ds:schemaRef ds:uri="http://purl.org/dc/dcmitype/"/>
  </ds:schemaRefs>
</ds:datastoreItem>
</file>

<file path=customXml/itemProps3.xml><?xml version="1.0" encoding="utf-8"?>
<ds:datastoreItem xmlns:ds="http://schemas.openxmlformats.org/officeDocument/2006/customXml" ds:itemID="{02E74DC2-8E9C-4038-925C-10818B12C423}">
  <ds:schemaRefs>
    <ds:schemaRef ds:uri="Microsoft.SharePoint.Taxonomy.ContentTypeSync"/>
  </ds:schemaRefs>
</ds:datastoreItem>
</file>

<file path=customXml/itemProps4.xml><?xml version="1.0" encoding="utf-8"?>
<ds:datastoreItem xmlns:ds="http://schemas.openxmlformats.org/officeDocument/2006/customXml" ds:itemID="{9FF3B049-ECA9-4660-974A-B8105DD6BA1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7037488-ec5d-4aba-84c2-9b1d22638e8e"/>
    <ds:schemaRef ds:uri="0a2d0cae-8a41-4761-b650-bfdba13c5436"/>
    <ds:schemaRef ds:uri="2ccc2635-740d-44a0-9af6-db4b7245622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135c4ba-2280-41f8-be7d-6f21d368baa3}" enabled="1" method="Standard" siteId="{24139d14-c62c-4c47-8bdd-ce71ea1d50cf}"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43</vt:i4>
      </vt:variant>
      <vt:variant>
        <vt:lpstr>Named Ranges</vt:lpstr>
      </vt:variant>
      <vt:variant>
        <vt:i4>3</vt:i4>
      </vt:variant>
    </vt:vector>
  </HeadingPairs>
  <TitlesOfParts>
    <vt:vector size="46" baseType="lpstr">
      <vt:lpstr>Mapping</vt:lpstr>
      <vt:lpstr>Scope 1 and 2 changelog</vt:lpstr>
      <vt:lpstr>Instructions</vt:lpstr>
      <vt:lpstr>EEA Data Upload</vt:lpstr>
      <vt:lpstr>Facility or System Data</vt:lpstr>
      <vt:lpstr>Scope 1 and 2 Data</vt:lpstr>
      <vt:lpstr>S1&amp;2 Lists</vt:lpstr>
      <vt:lpstr>Refrigerants</vt:lpstr>
      <vt:lpstr>Anesthetic Gases</vt:lpstr>
      <vt:lpstr>Results &amp; Summary</vt:lpstr>
      <vt:lpstr>S1&amp;2 References</vt:lpstr>
      <vt:lpstr>Data sources</vt:lpstr>
      <vt:lpstr>Reporting Year &amp; Inflation Adj.</vt:lpstr>
      <vt:lpstr>Scope 3 changelog</vt:lpstr>
      <vt:lpstr>Introduction</vt:lpstr>
      <vt:lpstr>Scope 3 Summary</vt:lpstr>
      <vt:lpstr>Cat 1 (Goods &amp; Services)</vt:lpstr>
      <vt:lpstr>Cat 2 (Capital Goods)</vt:lpstr>
      <vt:lpstr>using slicers</vt:lpstr>
      <vt:lpstr>Category 1 and 2 (custom input)</vt:lpstr>
      <vt:lpstr>Custom Emissions Inputs - other</vt:lpstr>
      <vt:lpstr>Cat 3 Fuel &amp; Energy</vt:lpstr>
      <vt:lpstr>Cat 4 Upstream Trans &amp; Dist</vt:lpstr>
      <vt:lpstr>Cat 5 Waste</vt:lpstr>
      <vt:lpstr>Cat 6 Business Trav. (spend)</vt:lpstr>
      <vt:lpstr>Cat 6 Business Trav. (distance)</vt:lpstr>
      <vt:lpstr>Cat 7 Employee Commuting</vt:lpstr>
      <vt:lpstr>Cat 8 &amp; Cat 13 Leased Assets</vt:lpstr>
      <vt:lpstr>Cat 9 (Patient Visits)</vt:lpstr>
      <vt:lpstr>Cat 11 Use of Sold Products</vt:lpstr>
      <vt:lpstr>Cat 15 Investments</vt:lpstr>
      <vt:lpstr>Cat 15 descriptions</vt:lpstr>
      <vt:lpstr>References</vt:lpstr>
      <vt:lpstr>EF</vt:lpstr>
      <vt:lpstr>Commute Calcs</vt:lpstr>
      <vt:lpstr>State eGrid factors</vt:lpstr>
      <vt:lpstr>CBECS IFs</vt:lpstr>
      <vt:lpstr>DESNZ Cat 6-9</vt:lpstr>
      <vt:lpstr>Conversions</vt:lpstr>
      <vt:lpstr>Fuel properties</vt:lpstr>
      <vt:lpstr>DESNZ fuels &amp; biofuels</vt:lpstr>
      <vt:lpstr>GWPs</vt:lpstr>
      <vt:lpstr>IndustryFactors_v1.4</vt:lpstr>
      <vt:lpstr>Refrigerants!Print_Area</vt:lpstr>
      <vt:lpstr>'Results &amp; Summary'!Print_Area</vt:lpstr>
      <vt:lpstr>'Scope 1 and 2 Data'!Print_Area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Lara Sutherland</dc:creator>
  <cp:lastModifiedBy>Chelsea Tomek</cp:lastModifiedBy>
  <dcterms:created xsi:type="dcterms:W3CDTF">2015-06-05T18:17:20Z</dcterms:created>
  <dcterms:modified xsi:type="dcterms:W3CDTF">2026-07-08T14:32:22Z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0x0101005E692C27715FE749A7C729010F0122B3</vt:lpwstr>
  </property>
  <property fmtid="{D5CDD505-2E9C-101B-9397-08002B2CF9AE}" pid="3" name="Security Classification">
    <vt:lpwstr/>
  </property>
  <property fmtid="{D5CDD505-2E9C-101B-9397-08002B2CF9AE}" pid="4" name="MediaServiceImageTags">
    <vt:lpwstr/>
  </property>
  <property fmtid="{D5CDD505-2E9C-101B-9397-08002B2CF9AE}" pid="5" name="MSIP_Label_c135c4ba-2280-41f8-be7d-6f21d368baa3_Enabled">
    <vt:lpwstr>true</vt:lpwstr>
  </property>
  <property fmtid="{D5CDD505-2E9C-101B-9397-08002B2CF9AE}" pid="6" name="MSIP_Label_c135c4ba-2280-41f8-be7d-6f21d368baa3_SetDate">
    <vt:lpwstr>2022-08-10T15:52:28Z</vt:lpwstr>
  </property>
  <property fmtid="{D5CDD505-2E9C-101B-9397-08002B2CF9AE}" pid="7" name="MSIP_Label_c135c4ba-2280-41f8-be7d-6f21d368baa3_Method">
    <vt:lpwstr>Standard</vt:lpwstr>
  </property>
  <property fmtid="{D5CDD505-2E9C-101B-9397-08002B2CF9AE}" pid="8" name="MSIP_Label_c135c4ba-2280-41f8-be7d-6f21d368baa3_Name">
    <vt:lpwstr>c135c4ba-2280-41f8-be7d-6f21d368baa3</vt:lpwstr>
  </property>
  <property fmtid="{D5CDD505-2E9C-101B-9397-08002B2CF9AE}" pid="9" name="MSIP_Label_c135c4ba-2280-41f8-be7d-6f21d368baa3_SiteId">
    <vt:lpwstr>24139d14-c62c-4c47-8bdd-ce71ea1d50cf</vt:lpwstr>
  </property>
  <property fmtid="{D5CDD505-2E9C-101B-9397-08002B2CF9AE}" pid="10" name="MSIP_Label_c135c4ba-2280-41f8-be7d-6f21d368baa3_ActionId">
    <vt:lpwstr>22554338-9a10-41c4-9c4e-8ef64dc2589c</vt:lpwstr>
  </property>
  <property fmtid="{D5CDD505-2E9C-101B-9397-08002B2CF9AE}" pid="11" name="MSIP_Label_c135c4ba-2280-41f8-be7d-6f21d368baa3_ContentBits">
    <vt:lpwstr>0</vt:lpwstr>
  </property>
  <property fmtid="{D5CDD505-2E9C-101B-9397-08002B2CF9AE}" pid="12" name="Security_x0020_Classification">
    <vt:lpwstr/>
  </property>
</Properties>
</file>